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ämäTyökirja"/>
  <mc:AlternateContent xmlns:mc="http://schemas.openxmlformats.org/markup-compatibility/2006">
    <mc:Choice Requires="x15">
      <x15ac:absPath xmlns:x15ac="http://schemas.microsoft.com/office/spreadsheetml/2010/11/ac" url="C:\Users\erikk\Desktop\Dippa\"/>
    </mc:Choice>
  </mc:AlternateContent>
  <xr:revisionPtr revIDLastSave="0" documentId="13_ncr:1_{3ED5A8EF-C1A8-4548-A964-832EE6EAFB3F}" xr6:coauthVersionLast="47" xr6:coauthVersionMax="47" xr10:uidLastSave="{00000000-0000-0000-0000-000000000000}"/>
  <bookViews>
    <workbookView xWindow="-120" yWindow="-120" windowWidth="29040" windowHeight="15840" xr2:uid="{D34391C6-9C0B-4534-AEA0-60603F461867}"/>
  </bookViews>
  <sheets>
    <sheet name="Taul1" sheetId="1" r:id="rId1"/>
    <sheet name="Taul2" sheetId="2" r:id="rId2"/>
    <sheet name="Taul3" sheetId="3" r:id="rId3"/>
  </sheets>
  <definedNames>
    <definedName name="Laskuri">Taul1!$A$1:$R$44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41" i="1"/>
  <c r="H32" i="3"/>
  <c r="B5" i="3" l="1"/>
  <c r="B17" i="3" s="1"/>
  <c r="A46" i="3"/>
  <c r="A39" i="3"/>
  <c r="A36" i="3"/>
  <c r="D27" i="3"/>
  <c r="F13" i="3"/>
  <c r="E13" i="3"/>
  <c r="D13" i="3"/>
  <c r="C13" i="3"/>
  <c r="B13" i="3"/>
  <c r="M11" i="3"/>
  <c r="F11" i="3"/>
  <c r="E11" i="3"/>
  <c r="D11" i="3"/>
  <c r="C11" i="3"/>
  <c r="C6" i="3" s="1"/>
  <c r="C18" i="3" s="1"/>
  <c r="B11" i="3"/>
  <c r="B6" i="3" s="1"/>
  <c r="M10" i="3"/>
  <c r="M9" i="3"/>
  <c r="M8" i="3"/>
  <c r="M7" i="3"/>
  <c r="F7" i="3"/>
  <c r="F19" i="3" s="1"/>
  <c r="E7" i="3"/>
  <c r="E19" i="3" s="1"/>
  <c r="D7" i="3"/>
  <c r="D19" i="3" s="1"/>
  <c r="F6" i="3"/>
  <c r="F18" i="3" s="1"/>
  <c r="E6" i="3"/>
  <c r="E18" i="3" s="1"/>
  <c r="D6" i="3"/>
  <c r="D18" i="3" s="1"/>
  <c r="C7" i="3" l="1"/>
  <c r="C19" i="3" s="1"/>
  <c r="B7" i="3"/>
  <c r="B9" i="3" s="1"/>
  <c r="M13" i="3"/>
  <c r="D28" i="3" s="1"/>
  <c r="D5" i="3"/>
  <c r="D9" i="3" s="1"/>
  <c r="E5" i="3"/>
  <c r="E17" i="3" s="1"/>
  <c r="E21" i="3" s="1"/>
  <c r="J10" i="3" s="1"/>
  <c r="P10" i="3" s="1"/>
  <c r="F5" i="3"/>
  <c r="F9" i="3" s="1"/>
  <c r="C5" i="3"/>
  <c r="C17" i="3" s="1"/>
  <c r="G6" i="3"/>
  <c r="B18" i="3"/>
  <c r="G18" i="3" s="1"/>
  <c r="J17" i="3"/>
  <c r="J16" i="3"/>
  <c r="J15" i="3"/>
  <c r="G13" i="3"/>
  <c r="F6" i="2"/>
  <c r="E6" i="2"/>
  <c r="M11" i="2"/>
  <c r="M10" i="2"/>
  <c r="M9" i="2"/>
  <c r="M8" i="2"/>
  <c r="M7" i="2"/>
  <c r="F13" i="2"/>
  <c r="E13" i="2"/>
  <c r="D13" i="2"/>
  <c r="B13" i="2"/>
  <c r="C13" i="2"/>
  <c r="K42" i="2"/>
  <c r="G70" i="2" s="1"/>
  <c r="C21" i="3" l="1"/>
  <c r="C23" i="3" s="1"/>
  <c r="J8" i="3" s="1"/>
  <c r="P8" i="3" s="1"/>
  <c r="J14" i="3" s="1"/>
  <c r="B19" i="3"/>
  <c r="G19" i="3" s="1"/>
  <c r="G7" i="3"/>
  <c r="E9" i="3"/>
  <c r="D17" i="3"/>
  <c r="D21" i="3" s="1"/>
  <c r="D23" i="3" s="1"/>
  <c r="F17" i="3"/>
  <c r="F21" i="3" s="1"/>
  <c r="F23" i="3" s="1"/>
  <c r="G5" i="3"/>
  <c r="E23" i="3"/>
  <c r="C9" i="3"/>
  <c r="G69" i="2"/>
  <c r="H32" i="2"/>
  <c r="A39" i="2"/>
  <c r="B9" i="1" s="1"/>
  <c r="A36" i="2"/>
  <c r="B8" i="1" s="1"/>
  <c r="D27" i="2"/>
  <c r="A46" i="2"/>
  <c r="A33" i="2"/>
  <c r="D26" i="2"/>
  <c r="B21" i="3" l="1"/>
  <c r="G21" i="3" s="1"/>
  <c r="G11" i="3"/>
  <c r="G17" i="3"/>
  <c r="J9" i="3"/>
  <c r="P9" i="3" s="1"/>
  <c r="J11" i="3"/>
  <c r="P11" i="3" s="1"/>
  <c r="G9" i="3"/>
  <c r="D5" i="2"/>
  <c r="F5" i="2"/>
  <c r="C5" i="2"/>
  <c r="B5" i="2"/>
  <c r="E5" i="2"/>
  <c r="M43" i="2"/>
  <c r="M44" i="2" s="1"/>
  <c r="M45" i="2" s="1"/>
  <c r="M46" i="2" s="1"/>
  <c r="M47" i="2" s="1"/>
  <c r="G64" i="2"/>
  <c r="G63" i="2"/>
  <c r="G62" i="2"/>
  <c r="G66" i="2"/>
  <c r="G65" i="2"/>
  <c r="G13" i="2"/>
  <c r="B23" i="3" l="1"/>
  <c r="G23" i="3" s="1"/>
  <c r="G17" i="1"/>
  <c r="G67" i="2"/>
  <c r="B11" i="2"/>
  <c r="B6" i="2" s="1"/>
  <c r="F11" i="2"/>
  <c r="E11" i="2"/>
  <c r="D11" i="2"/>
  <c r="D6" i="2" s="1"/>
  <c r="C11" i="2"/>
  <c r="C6" i="2" s="1"/>
  <c r="J7" i="3" l="1"/>
  <c r="P7" i="3" s="1"/>
  <c r="P13" i="3" s="1"/>
  <c r="P14" i="3" s="1"/>
  <c r="E7" i="2"/>
  <c r="E19" i="2" s="1"/>
  <c r="D7" i="2"/>
  <c r="D19" i="2" s="1"/>
  <c r="F7" i="2"/>
  <c r="F19" i="2" s="1"/>
  <c r="B7" i="2"/>
  <c r="C7" i="2"/>
  <c r="C19" i="2" s="1"/>
  <c r="J13" i="3" l="1"/>
  <c r="J4" i="3"/>
  <c r="J19" i="3"/>
  <c r="J28" i="3" s="1"/>
  <c r="J30" i="3" s="1"/>
  <c r="P13" i="1" s="1"/>
  <c r="C17" i="2"/>
  <c r="B17" i="2"/>
  <c r="F17" i="2"/>
  <c r="E17" i="2"/>
  <c r="D18" i="2"/>
  <c r="G7" i="2"/>
  <c r="M13" i="2"/>
  <c r="D28" i="2" s="1"/>
  <c r="B19" i="2"/>
  <c r="N27" i="3" l="1"/>
  <c r="N28" i="3" s="1"/>
  <c r="N29" i="3"/>
  <c r="N30" i="3" s="1"/>
  <c r="J20" i="3"/>
  <c r="A43" i="3"/>
  <c r="A49" i="3"/>
  <c r="B9" i="2"/>
  <c r="B18" i="2"/>
  <c r="B21" i="2" s="1"/>
  <c r="B23" i="2" s="1"/>
  <c r="G6" i="2"/>
  <c r="E9" i="2"/>
  <c r="D17" i="2"/>
  <c r="G17" i="2" s="1"/>
  <c r="G5" i="2"/>
  <c r="G19" i="2"/>
  <c r="C18" i="2"/>
  <c r="C21" i="2" s="1"/>
  <c r="C9" i="2"/>
  <c r="E18" i="2"/>
  <c r="E21" i="2" s="1"/>
  <c r="F9" i="2"/>
  <c r="F18" i="2"/>
  <c r="F21" i="2" s="1"/>
  <c r="D9" i="2"/>
  <c r="N25" i="3" l="1"/>
  <c r="N26" i="3" s="1"/>
  <c r="N35" i="3" s="1"/>
  <c r="J27" i="3"/>
  <c r="D21" i="2"/>
  <c r="G11" i="2"/>
  <c r="G18" i="2"/>
  <c r="G9" i="2"/>
  <c r="C23" i="2"/>
  <c r="J8" i="2" s="1"/>
  <c r="P8" i="2" s="1"/>
  <c r="F23" i="2"/>
  <c r="J11" i="2" s="1"/>
  <c r="J7" i="2"/>
  <c r="P7" i="2" s="1"/>
  <c r="J13" i="2" s="1"/>
  <c r="E23" i="2"/>
  <c r="J10" i="2" s="1"/>
  <c r="J25" i="3" l="1"/>
  <c r="P16" i="1" s="1"/>
  <c r="J29" i="3"/>
  <c r="P14" i="1" s="1"/>
  <c r="N34" i="3"/>
  <c r="N43" i="2"/>
  <c r="D23" i="2"/>
  <c r="J9" i="2" s="1"/>
  <c r="J4" i="2" s="1"/>
  <c r="G21" i="2"/>
  <c r="P11" i="2"/>
  <c r="J17" i="2" s="1"/>
  <c r="P10" i="2"/>
  <c r="J16" i="2" s="1"/>
  <c r="J14" i="2"/>
  <c r="N44" i="2" l="1"/>
  <c r="P9" i="2"/>
  <c r="G23" i="2"/>
  <c r="P13" i="2" l="1"/>
  <c r="P14" i="2" s="1"/>
  <c r="J15" i="2"/>
  <c r="N45" i="2" l="1"/>
  <c r="N46" i="2" s="1"/>
  <c r="N47" i="2" s="1"/>
  <c r="G53" i="2"/>
  <c r="K7" i="1"/>
  <c r="A53" i="3" s="1"/>
  <c r="A57" i="3" s="1"/>
  <c r="J19" i="2"/>
  <c r="K8" i="1" s="1"/>
  <c r="J20" i="2" l="1"/>
  <c r="B31" i="1" s="1"/>
  <c r="H69" i="2"/>
  <c r="G56" i="2"/>
  <c r="A43" i="2"/>
  <c r="A49" i="2"/>
  <c r="H66" i="2" s="1"/>
  <c r="B32" i="1"/>
  <c r="N29" i="2"/>
  <c r="P24" i="1" s="1"/>
  <c r="N27" i="2"/>
  <c r="N28" i="2" s="1"/>
  <c r="P23" i="1" s="1"/>
  <c r="J27" i="2" l="1"/>
  <c r="J28" i="2"/>
  <c r="P8" i="1" s="1"/>
  <c r="N25" i="2"/>
  <c r="N26" i="2" s="1"/>
  <c r="P21" i="1" s="1"/>
  <c r="H62" i="2"/>
  <c r="H63" i="2"/>
  <c r="H65" i="2"/>
  <c r="H64" i="2"/>
  <c r="H70" i="2"/>
  <c r="G58" i="2"/>
  <c r="P22" i="1"/>
  <c r="N30" i="2"/>
  <c r="P25" i="1" s="1"/>
  <c r="J29" i="2" l="1"/>
  <c r="J30" i="2"/>
  <c r="J25" i="2"/>
  <c r="P7" i="1"/>
  <c r="O9" i="1" s="1"/>
  <c r="P20" i="1"/>
  <c r="N34" i="2"/>
  <c r="P29" i="1" s="1"/>
  <c r="G74" i="2" a="1"/>
  <c r="G74" i="2" s="1"/>
  <c r="N35" i="2"/>
  <c r="P30" i="1" s="1"/>
  <c r="A53" i="2"/>
  <c r="L42" i="2"/>
  <c r="K10" i="1"/>
  <c r="A57" i="2" l="1"/>
  <c r="J15" i="1" s="1" a="1"/>
  <c r="J15" i="1" s="1"/>
  <c r="K12" i="1"/>
  <c r="P9" i="1"/>
  <c r="K13" i="1" l="1"/>
  <c r="G45" i="2" a="1"/>
  <c r="G45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921197-DA0F-4043-BC6B-7EA4017275C0}" keepAlive="1" name="Kysely – Oulu -_ Taivalkoski (151km)" description="Yhteys kyselyyn Oulu -_ Taivalkoski (151km) työkirjassa." type="5" refreshedVersion="8" background="1" saveData="1">
    <dbPr connection="Provider=Microsoft.Mashup.OleDb.1;Data Source=$Workbook$;Location=&quot;Oulu -_ Taivalkoski (151km)&quot;;Extended Properties=&quot;&quot;" command="SELECT * FROM [Oulu -_ Taivalkoski (151km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<sst xmlns="http://schemas.openxmlformats.org/spreadsheetml/2006/main" count="314" uniqueCount="156">
  <si>
    <t>Matka [km]</t>
  </si>
  <si>
    <t xml:space="preserve">Ilmanvastuskerroin </t>
  </si>
  <si>
    <t>Otsapinta-ala [m^2]</t>
  </si>
  <si>
    <t>Ilmanpaine [kPa]</t>
  </si>
  <si>
    <t>Nopeus [km/h]</t>
  </si>
  <si>
    <t>Nousu [deg]</t>
  </si>
  <si>
    <t>Ilman tiheys [kg/m^3]</t>
  </si>
  <si>
    <t>Laskukaavoja</t>
  </si>
  <si>
    <t>Vastusvoimat</t>
  </si>
  <si>
    <t>Vastustehot</t>
  </si>
  <si>
    <t>kW</t>
  </si>
  <si>
    <t>Kokonaismassa [kg]</t>
  </si>
  <si>
    <t>Kokonaishyötysuhde</t>
  </si>
  <si>
    <t>Matka-aika</t>
  </si>
  <si>
    <t>h</t>
  </si>
  <si>
    <t>Kulutus</t>
  </si>
  <si>
    <t>kWh</t>
  </si>
  <si>
    <t>Etot</t>
  </si>
  <si>
    <t>Regeneroinnin hyötysuhde</t>
  </si>
  <si>
    <t>Takaisinmaksuaika</t>
  </si>
  <si>
    <t>Keskimäärin</t>
  </si>
  <si>
    <t xml:space="preserve">kWh/100 km </t>
  </si>
  <si>
    <t xml:space="preserve">yht. </t>
  </si>
  <si>
    <t>hetkell</t>
  </si>
  <si>
    <t>€</t>
  </si>
  <si>
    <t>km</t>
  </si>
  <si>
    <t xml:space="preserve">Kulutus, sähkö </t>
  </si>
  <si>
    <t>Kulutus, diesel</t>
  </si>
  <si>
    <t>Ostohinta, diesel</t>
  </si>
  <si>
    <t xml:space="preserve">Ostohinta, sähkö </t>
  </si>
  <si>
    <t xml:space="preserve">Diesel, hinta </t>
  </si>
  <si>
    <t xml:space="preserve">Sähkö, hinta </t>
  </si>
  <si>
    <t xml:space="preserve">Ajokilometrit vuosittain </t>
  </si>
  <si>
    <t>Takaisimaksukaava</t>
  </si>
  <si>
    <t>v</t>
  </si>
  <si>
    <t>vuotta</t>
  </si>
  <si>
    <t>Diesel/km</t>
  </si>
  <si>
    <t>Sähkö/km</t>
  </si>
  <si>
    <t>€ / km</t>
  </si>
  <si>
    <t>kWh / 100 km</t>
  </si>
  <si>
    <t>L / 100 km</t>
  </si>
  <si>
    <t>snt / kWh</t>
  </si>
  <si>
    <t>€ / L</t>
  </si>
  <si>
    <t>€ / km halvempi.</t>
  </si>
  <si>
    <t>CO2 -päästöt</t>
  </si>
  <si>
    <t>Diesel</t>
  </si>
  <si>
    <t>gCO2 / kWh</t>
  </si>
  <si>
    <t>Suomi</t>
  </si>
  <si>
    <t>Sähkö, Suomi</t>
  </si>
  <si>
    <t>Sähkö, Saksa</t>
  </si>
  <si>
    <t>Päästöt</t>
  </si>
  <si>
    <t>gCO2 / km</t>
  </si>
  <si>
    <t>Sähkö, suomi</t>
  </si>
  <si>
    <t>Sähkö, saksa</t>
  </si>
  <si>
    <t>tonCO2 / Vuosi</t>
  </si>
  <si>
    <t>Vuosittainen päästösäästö</t>
  </si>
  <si>
    <t>Saksa</t>
  </si>
  <si>
    <t>päästösäästö</t>
  </si>
  <si>
    <t>Urea</t>
  </si>
  <si>
    <t>% Dieselistä</t>
  </si>
  <si>
    <t>Urea, hinta</t>
  </si>
  <si>
    <t>Diesel, sis. Adblue / km</t>
  </si>
  <si>
    <t>diesel</t>
  </si>
  <si>
    <t>Diesel kwh/L</t>
  </si>
  <si>
    <t>kemiallisesta liike-energiaksi hyötysuhde</t>
  </si>
  <si>
    <t>Vierintävastuskerroin [+25 °C]</t>
  </si>
  <si>
    <t>Vierinnän lämpötilavaikutuskerroin</t>
  </si>
  <si>
    <t>Pr [kW]</t>
  </si>
  <si>
    <t>Pa [kW]</t>
  </si>
  <si>
    <t>Pg [kW]</t>
  </si>
  <si>
    <t>Pw [kW]</t>
  </si>
  <si>
    <t>Pe [kW]</t>
  </si>
  <si>
    <t>Fa [N]</t>
  </si>
  <si>
    <t>Fr [N]</t>
  </si>
  <si>
    <t>Fg [N]</t>
  </si>
  <si>
    <t>Fw [N]</t>
  </si>
  <si>
    <t>yht</t>
  </si>
  <si>
    <t>E1</t>
  </si>
  <si>
    <t>E2</t>
  </si>
  <si>
    <t>E3</t>
  </si>
  <si>
    <t>E4</t>
  </si>
  <si>
    <t>E5</t>
  </si>
  <si>
    <t>tonCO2 / vuosi</t>
  </si>
  <si>
    <t>yht.</t>
  </si>
  <si>
    <t>Suurin Kulutus</t>
  </si>
  <si>
    <t>max</t>
  </si>
  <si>
    <t>min</t>
  </si>
  <si>
    <t>Korkeusero [m]</t>
  </si>
  <si>
    <t xml:space="preserve">Matkat </t>
  </si>
  <si>
    <t>Sähkö / km</t>
  </si>
  <si>
    <t>Lataus</t>
  </si>
  <si>
    <t>Mahdollista?</t>
  </si>
  <si>
    <t>Teho [kW]</t>
  </si>
  <si>
    <t>Aika [h]</t>
  </si>
  <si>
    <t>Lataus matkalla</t>
  </si>
  <si>
    <t>Muu energiankulutus [kW]</t>
  </si>
  <si>
    <t>Ilmanvastuskerroin massan mukaan</t>
  </si>
  <si>
    <t xml:space="preserve">Akun koko, käytettävissä 10-90%. </t>
  </si>
  <si>
    <t xml:space="preserve">Varmuuskerroin  5 %. </t>
  </si>
  <si>
    <t>Vierintävastuskerroin massan mukaan</t>
  </si>
  <si>
    <t>Latausaseman sijainti reitillä [km]</t>
  </si>
  <si>
    <t xml:space="preserve">Ladattavissa </t>
  </si>
  <si>
    <t>Suurin kokonaiskulutus</t>
  </si>
  <si>
    <t>ilman välilatausta</t>
  </si>
  <si>
    <t>Tarvittava energia, sis latauksen</t>
  </si>
  <si>
    <t>Lataus, aika*teho</t>
  </si>
  <si>
    <t>AUX</t>
  </si>
  <si>
    <t>Muu</t>
  </si>
  <si>
    <t>gCO2 / L</t>
  </si>
  <si>
    <r>
      <t>Ulkolämpötila [</t>
    </r>
    <r>
      <rPr>
        <sz val="11"/>
        <color theme="1"/>
        <rFont val="Aptos Narrow"/>
        <family val="2"/>
      </rPr>
      <t>°C</t>
    </r>
    <r>
      <rPr>
        <sz val="11"/>
        <color theme="1"/>
        <rFont val="Aptos Narrow"/>
        <family val="2"/>
        <scheme val="minor"/>
      </rPr>
      <t>]</t>
    </r>
  </si>
  <si>
    <t>AJONEUVO</t>
  </si>
  <si>
    <t>YMPÄRISTÖ</t>
  </si>
  <si>
    <t>Takaisinmaksu</t>
  </si>
  <si>
    <t>Esimerkkiajoneuvoja</t>
  </si>
  <si>
    <t>Esimerkkiajoneuvot</t>
  </si>
  <si>
    <t>Volvo FH Electric</t>
  </si>
  <si>
    <t>MAN eTGX</t>
  </si>
  <si>
    <t>Scania Electric Truck</t>
  </si>
  <si>
    <t>REITTI</t>
  </si>
  <si>
    <t>Mercedes eActros 600</t>
  </si>
  <si>
    <t>matka</t>
  </si>
  <si>
    <t>= Mahdollista syöttää tarkempi arvo</t>
  </si>
  <si>
    <t>= Vähintään tarvittavat arvot</t>
  </si>
  <si>
    <t>Kokonaiskulutus</t>
  </si>
  <si>
    <t>avg.tot</t>
  </si>
  <si>
    <t>AVG1</t>
  </si>
  <si>
    <t>AVG2</t>
  </si>
  <si>
    <t>AVG3</t>
  </si>
  <si>
    <t>AVG4</t>
  </si>
  <si>
    <t>AVG5</t>
  </si>
  <si>
    <t>Ajovastuksista</t>
  </si>
  <si>
    <t>määrä</t>
  </si>
  <si>
    <t>latauspaikka</t>
  </si>
  <si>
    <t>Kulutettu energia latauspisteessä</t>
  </si>
  <si>
    <t>Latauksen jälkeen</t>
  </si>
  <si>
    <t>Latausta ennen</t>
  </si>
  <si>
    <t>Latauksen jälkeinen ajo</t>
  </si>
  <si>
    <t>Kokonaisralli</t>
  </si>
  <si>
    <t>= Tarvittava arvo puuttuu tai on virheellinen</t>
  </si>
  <si>
    <t xml:space="preserve"> = Sarake vaatii huomiota.</t>
  </si>
  <si>
    <t xml:space="preserve"> = Sarake OK</t>
  </si>
  <si>
    <t>Diesel/vuosi</t>
  </si>
  <si>
    <t>Sähkö/vuosi</t>
  </si>
  <si>
    <t>vuodessa</t>
  </si>
  <si>
    <t>Nicola Tre Bev</t>
  </si>
  <si>
    <t>Tesla Semi (prot.)</t>
  </si>
  <si>
    <t>Renault T E-Tech</t>
  </si>
  <si>
    <r>
      <t xml:space="preserve">Tämä taulukko </t>
    </r>
    <r>
      <rPr>
        <b/>
        <sz val="11"/>
        <color theme="1"/>
        <rFont val="Aptos Narrow"/>
        <family val="2"/>
        <scheme val="minor"/>
      </rPr>
      <t>kopio Taulukosta 2</t>
    </r>
    <r>
      <rPr>
        <sz val="11"/>
        <color theme="1"/>
        <rFont val="Aptos Narrow"/>
        <family val="2"/>
        <scheme val="minor"/>
      </rPr>
      <t>, mutta tässä käytetään lämpötilana vuosien 1961-2023 kuukausittaisten keskiarvojen perusteella</t>
    </r>
    <r>
      <rPr>
        <b/>
        <sz val="11"/>
        <color theme="1"/>
        <rFont val="Aptos Narrow"/>
        <family val="2"/>
        <scheme val="minor"/>
      </rPr>
      <t xml:space="preserve"> +2</t>
    </r>
    <r>
      <rPr>
        <sz val="11"/>
        <color theme="1"/>
        <rFont val="Aptos Narrow"/>
        <family val="2"/>
        <scheme val="minor"/>
      </rPr>
      <t xml:space="preserve">, jolloin päästään vuosittaisissa polttoainekuluissa ja takaisinmaksuissa lähemmäs todellisuutta. </t>
    </r>
  </si>
  <si>
    <t>Diesel/Vuosi</t>
  </si>
  <si>
    <t>Sähkö/Vuosi</t>
  </si>
  <si>
    <t>Polttoainekulut annetussa lämpötilassa</t>
  </si>
  <si>
    <t>Tarvittava käyttökapasiteetti</t>
  </si>
  <si>
    <t>Nimelliskapasiteetin arvio</t>
  </si>
  <si>
    <t xml:space="preserve">Jos käytettäisiin lähtöarvoihin syötettyä arvoa, laskettaisiin polttoainekulut koko vuodelle alussa annetulla arvolla jolloin tulos väärentyisi, kesällä kun ei ole pakkasta 20 astetta. </t>
  </si>
  <si>
    <t>Sähkön kulut</t>
  </si>
  <si>
    <t>Dieselin kulut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</si>
</sst>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"/>
    <numFmt numFmtId="165" formatCode="0.0000"/>
    <numFmt numFmtId="166" formatCode="0.0"/>
    <numFmt numFmtId="167" formatCode="0.00000"/>
    <numFmt numFmtId="168" formatCode="_-* #,##0\ [$€-1]_-;\-* #,##0\ [$€-1]_-;_-* &quot;-&quot;??\ [$€-1]_-;_-@_-"/>
    <numFmt numFmtId="169" formatCode="0.000000000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center"/>
    </xf>
    <xf numFmtId="0" fontId="0" fillId="5" borderId="0" xfId="0" applyFill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0" fillId="5" borderId="10" xfId="0" applyFill="1" applyBorder="1"/>
    <xf numFmtId="1" fontId="6" fillId="5" borderId="3" xfId="0" applyNumberFormat="1" applyFont="1" applyFill="1" applyBorder="1" applyAlignment="1">
      <alignment horizontal="center"/>
    </xf>
    <xf numFmtId="0" fontId="0" fillId="6" borderId="3" xfId="0" applyFill="1" applyBorder="1"/>
    <xf numFmtId="1" fontId="6" fillId="5" borderId="3" xfId="0" applyNumberFormat="1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>
      <alignment horizontal="center"/>
    </xf>
    <xf numFmtId="0" fontId="0" fillId="5" borderId="4" xfId="0" applyFill="1" applyBorder="1"/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" fontId="6" fillId="5" borderId="2" xfId="0" applyNumberFormat="1" applyFont="1" applyFill="1" applyBorder="1" applyAlignment="1">
      <alignment horizontal="center" vertical="center"/>
    </xf>
    <xf numFmtId="0" fontId="0" fillId="5" borderId="1" xfId="0" applyFill="1" applyBorder="1"/>
    <xf numFmtId="1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4" borderId="15" xfId="0" applyFill="1" applyBorder="1"/>
    <xf numFmtId="0" fontId="0" fillId="6" borderId="6" xfId="0" applyFill="1" applyBorder="1"/>
    <xf numFmtId="0" fontId="0" fillId="6" borderId="5" xfId="0" applyFill="1" applyBorder="1"/>
    <xf numFmtId="0" fontId="0" fillId="6" borderId="7" xfId="0" applyFill="1" applyBorder="1"/>
    <xf numFmtId="2" fontId="0" fillId="6" borderId="3" xfId="0" applyNumberFormat="1" applyFill="1" applyBorder="1"/>
    <xf numFmtId="0" fontId="0" fillId="6" borderId="4" xfId="0" applyFill="1" applyBorder="1"/>
    <xf numFmtId="2" fontId="0" fillId="6" borderId="4" xfId="0" applyNumberFormat="1" applyFill="1" applyBorder="1"/>
    <xf numFmtId="0" fontId="0" fillId="6" borderId="3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4" xfId="0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0" fontId="0" fillId="3" borderId="11" xfId="0" applyFill="1" applyBorder="1"/>
    <xf numFmtId="0" fontId="0" fillId="3" borderId="17" xfId="0" applyFill="1" applyBorder="1"/>
    <xf numFmtId="0" fontId="0" fillId="5" borderId="19" xfId="0" applyFill="1" applyBorder="1"/>
    <xf numFmtId="0" fontId="5" fillId="3" borderId="19" xfId="0" applyFont="1" applyFill="1" applyBorder="1"/>
    <xf numFmtId="0" fontId="0" fillId="5" borderId="20" xfId="0" applyFill="1" applyBorder="1"/>
    <xf numFmtId="0" fontId="0" fillId="3" borderId="11" xfId="0" applyFill="1" applyBorder="1" applyAlignment="1">
      <alignment horizontal="center"/>
    </xf>
    <xf numFmtId="0" fontId="0" fillId="5" borderId="4" xfId="0" applyFill="1" applyBorder="1" applyAlignment="1">
      <alignment horizontal="left"/>
    </xf>
    <xf numFmtId="2" fontId="0" fillId="3" borderId="11" xfId="0" applyNumberFormat="1" applyFill="1" applyBorder="1"/>
    <xf numFmtId="0" fontId="0" fillId="4" borderId="7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4" xfId="0" applyFill="1" applyBorder="1"/>
    <xf numFmtId="0" fontId="5" fillId="3" borderId="10" xfId="0" applyFont="1" applyFill="1" applyBorder="1"/>
    <xf numFmtId="0" fontId="0" fillId="6" borderId="8" xfId="0" applyFill="1" applyBorder="1"/>
    <xf numFmtId="0" fontId="0" fillId="6" borderId="23" xfId="0" applyFill="1" applyBorder="1"/>
    <xf numFmtId="0" fontId="0" fillId="6" borderId="26" xfId="0" applyFill="1" applyBorder="1"/>
    <xf numFmtId="0" fontId="0" fillId="6" borderId="18" xfId="0" applyFill="1" applyBorder="1"/>
    <xf numFmtId="1" fontId="0" fillId="5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/>
    <xf numFmtId="0" fontId="0" fillId="4" borderId="25" xfId="0" applyFill="1" applyBorder="1"/>
    <xf numFmtId="2" fontId="0" fillId="8" borderId="1" xfId="0" applyNumberFormat="1" applyFill="1" applyBorder="1" applyAlignment="1">
      <alignment horizontal="center"/>
    </xf>
    <xf numFmtId="0" fontId="0" fillId="8" borderId="19" xfId="0" applyFill="1" applyBorder="1"/>
    <xf numFmtId="0" fontId="0" fillId="2" borderId="2" xfId="0" applyFill="1" applyBorder="1"/>
    <xf numFmtId="1" fontId="0" fillId="5" borderId="17" xfId="0" applyNumberFormat="1" applyFill="1" applyBorder="1" applyAlignment="1" applyProtection="1">
      <alignment horizontal="center"/>
      <protection locked="0"/>
    </xf>
    <xf numFmtId="1" fontId="0" fillId="9" borderId="1" xfId="0" applyNumberForma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1" fontId="0" fillId="9" borderId="1" xfId="0" applyNumberFormat="1" applyFill="1" applyBorder="1" applyAlignment="1" applyProtection="1">
      <alignment horizontal="center" vertical="center"/>
      <protection locked="0"/>
    </xf>
    <xf numFmtId="1" fontId="0" fillId="9" borderId="4" xfId="0" applyNumberFormat="1" applyFill="1" applyBorder="1" applyAlignment="1" applyProtection="1">
      <alignment horizontal="center" vertical="center"/>
      <protection locked="0"/>
    </xf>
    <xf numFmtId="1" fontId="0" fillId="9" borderId="4" xfId="0" applyNumberFormat="1" applyFill="1" applyBorder="1" applyAlignment="1" applyProtection="1">
      <alignment horizontal="center"/>
      <protection locked="0"/>
    </xf>
    <xf numFmtId="2" fontId="0" fillId="9" borderId="1" xfId="0" applyNumberFormat="1" applyFill="1" applyBorder="1" applyAlignment="1" applyProtection="1">
      <alignment horizontal="center"/>
      <protection locked="0"/>
    </xf>
    <xf numFmtId="49" fontId="0" fillId="6" borderId="9" xfId="0" applyNumberFormat="1" applyFill="1" applyBorder="1"/>
    <xf numFmtId="0" fontId="0" fillId="8" borderId="1" xfId="0" applyFill="1" applyBorder="1"/>
    <xf numFmtId="166" fontId="0" fillId="8" borderId="1" xfId="0" applyNumberFormat="1" applyFill="1" applyBorder="1" applyAlignment="1">
      <alignment horizontal="center"/>
    </xf>
    <xf numFmtId="0" fontId="0" fillId="8" borderId="17" xfId="0" applyFill="1" applyBorder="1"/>
    <xf numFmtId="0" fontId="0" fillId="8" borderId="16" xfId="0" applyFill="1" applyBorder="1"/>
    <xf numFmtId="0" fontId="0" fillId="8" borderId="12" xfId="0" applyFill="1" applyBorder="1"/>
    <xf numFmtId="166" fontId="0" fillId="8" borderId="4" xfId="0" applyNumberFormat="1" applyFill="1" applyBorder="1" applyAlignment="1">
      <alignment horizontal="center"/>
    </xf>
    <xf numFmtId="0" fontId="0" fillId="8" borderId="14" xfId="0" applyFill="1" applyBorder="1"/>
    <xf numFmtId="0" fontId="0" fillId="6" borderId="15" xfId="0" applyFill="1" applyBorder="1"/>
    <xf numFmtId="0" fontId="0" fillId="10" borderId="19" xfId="0" applyFill="1" applyBorder="1"/>
    <xf numFmtId="1" fontId="0" fillId="10" borderId="1" xfId="0" applyNumberFormat="1" applyFill="1" applyBorder="1" applyAlignment="1" applyProtection="1">
      <alignment horizontal="center"/>
      <protection locked="0"/>
    </xf>
    <xf numFmtId="0" fontId="0" fillId="10" borderId="20" xfId="0" applyFill="1" applyBorder="1"/>
    <xf numFmtId="0" fontId="0" fillId="10" borderId="1" xfId="0" applyFill="1" applyBorder="1" applyAlignment="1">
      <alignment horizontal="left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1" xfId="0" applyFill="1" applyBorder="1"/>
    <xf numFmtId="165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 applyProtection="1">
      <alignment horizontal="center"/>
      <protection locked="0"/>
    </xf>
    <xf numFmtId="0" fontId="0" fillId="10" borderId="17" xfId="0" applyFill="1" applyBorder="1"/>
    <xf numFmtId="0" fontId="0" fillId="10" borderId="15" xfId="0" applyFill="1" applyBorder="1"/>
    <xf numFmtId="0" fontId="8" fillId="10" borderId="4" xfId="0" applyFont="1" applyFill="1" applyBorder="1" applyProtection="1">
      <protection locked="0"/>
    </xf>
    <xf numFmtId="0" fontId="0" fillId="8" borderId="1" xfId="0" applyFill="1" applyBorder="1" applyAlignment="1">
      <alignment horizontal="center"/>
    </xf>
    <xf numFmtId="2" fontId="0" fillId="0" borderId="0" xfId="1" applyNumberFormat="1" applyFont="1"/>
    <xf numFmtId="2" fontId="0" fillId="0" borderId="0" xfId="0" applyNumberFormat="1" applyAlignment="1">
      <alignment horizontal="right"/>
    </xf>
    <xf numFmtId="0" fontId="0" fillId="6" borderId="17" xfId="0" applyFill="1" applyBorder="1"/>
    <xf numFmtId="0" fontId="0" fillId="6" borderId="13" xfId="0" applyFill="1" applyBorder="1"/>
    <xf numFmtId="0" fontId="0" fillId="9" borderId="27" xfId="0" applyFill="1" applyBorder="1"/>
    <xf numFmtId="49" fontId="0" fillId="6" borderId="7" xfId="0" applyNumberFormat="1" applyFill="1" applyBorder="1"/>
    <xf numFmtId="0" fontId="0" fillId="6" borderId="21" xfId="0" applyFill="1" applyBorder="1"/>
    <xf numFmtId="0" fontId="0" fillId="6" borderId="0" xfId="0" applyFill="1"/>
    <xf numFmtId="0" fontId="0" fillId="4" borderId="0" xfId="0" applyFill="1"/>
    <xf numFmtId="0" fontId="0" fillId="6" borderId="22" xfId="0" applyFill="1" applyBorder="1"/>
    <xf numFmtId="0" fontId="5" fillId="4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4" fillId="4" borderId="0" xfId="0" applyFont="1" applyFill="1"/>
    <xf numFmtId="0" fontId="0" fillId="6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6" fillId="4" borderId="0" xfId="0" applyFont="1" applyFill="1"/>
    <xf numFmtId="0" fontId="0" fillId="4" borderId="0" xfId="0" applyFill="1" applyAlignment="1">
      <alignment horizontal="left"/>
    </xf>
    <xf numFmtId="0" fontId="0" fillId="6" borderId="25" xfId="0" applyFill="1" applyBorder="1"/>
    <xf numFmtId="0" fontId="0" fillId="6" borderId="24" xfId="0" applyFill="1" applyBorder="1"/>
    <xf numFmtId="0" fontId="0" fillId="4" borderId="23" xfId="0" applyFill="1" applyBorder="1"/>
    <xf numFmtId="0" fontId="0" fillId="7" borderId="28" xfId="0" applyFill="1" applyBorder="1"/>
    <xf numFmtId="49" fontId="0" fillId="6" borderId="8" xfId="0" applyNumberFormat="1" applyFill="1" applyBorder="1"/>
    <xf numFmtId="1" fontId="6" fillId="11" borderId="2" xfId="0" applyNumberFormat="1" applyFont="1" applyFill="1" applyBorder="1" applyAlignment="1">
      <alignment horizontal="center"/>
    </xf>
    <xf numFmtId="0" fontId="0" fillId="11" borderId="1" xfId="0" applyFill="1" applyBorder="1"/>
    <xf numFmtId="0" fontId="6" fillId="11" borderId="2" xfId="0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0" fontId="0" fillId="12" borderId="1" xfId="0" applyFill="1" applyBorder="1"/>
    <xf numFmtId="2" fontId="0" fillId="6" borderId="0" xfId="0" applyNumberFormat="1" applyFill="1"/>
    <xf numFmtId="0" fontId="0" fillId="0" borderId="0" xfId="0" applyAlignment="1">
      <alignment horizontal="left"/>
    </xf>
    <xf numFmtId="168" fontId="0" fillId="8" borderId="1" xfId="2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1" fontId="0" fillId="10" borderId="2" xfId="0" applyNumberFormat="1" applyFill="1" applyBorder="1" applyAlignment="1">
      <alignment horizontal="center"/>
    </xf>
    <xf numFmtId="169" fontId="0" fillId="0" borderId="0" xfId="0" applyNumberFormat="1"/>
    <xf numFmtId="1" fontId="0" fillId="5" borderId="0" xfId="0" applyNumberFormat="1" applyFill="1"/>
    <xf numFmtId="2" fontId="0" fillId="5" borderId="4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8" borderId="29" xfId="0" applyFill="1" applyBorder="1" applyAlignment="1">
      <alignment horizontal="left"/>
    </xf>
    <xf numFmtId="0" fontId="0" fillId="8" borderId="30" xfId="0" applyFill="1" applyBorder="1" applyAlignment="1">
      <alignment horizontal="center"/>
    </xf>
    <xf numFmtId="0" fontId="0" fillId="8" borderId="31" xfId="0" applyFill="1" applyBorder="1"/>
    <xf numFmtId="0" fontId="0" fillId="8" borderId="33" xfId="0" applyFill="1" applyBorder="1"/>
    <xf numFmtId="0" fontId="0" fillId="0" borderId="32" xfId="0" applyBorder="1"/>
    <xf numFmtId="2" fontId="0" fillId="8" borderId="34" xfId="0" applyNumberFormat="1" applyFill="1" applyBorder="1" applyAlignment="1">
      <alignment horizontal="center"/>
    </xf>
    <xf numFmtId="2" fontId="0" fillId="8" borderId="34" xfId="0" applyNumberFormat="1" applyFill="1" applyBorder="1" applyAlignment="1" applyProtection="1">
      <alignment horizontal="center"/>
      <protection locked="0"/>
    </xf>
    <xf numFmtId="0" fontId="0" fillId="8" borderId="35" xfId="0" applyFill="1" applyBorder="1"/>
    <xf numFmtId="2" fontId="0" fillId="8" borderId="30" xfId="0" applyNumberFormat="1" applyFill="1" applyBorder="1" applyAlignment="1">
      <alignment horizontal="center"/>
    </xf>
    <xf numFmtId="2" fontId="0" fillId="8" borderId="30" xfId="0" applyNumberFormat="1" applyFill="1" applyBorder="1" applyAlignment="1" applyProtection="1">
      <alignment horizontal="center"/>
      <protection locked="0"/>
    </xf>
    <xf numFmtId="0" fontId="0" fillId="8" borderId="30" xfId="0" applyFill="1" applyBorder="1" applyAlignment="1">
      <alignment horizontal="left"/>
    </xf>
  </cellXfs>
  <cellStyles count="3">
    <cellStyle name="Normaali" xfId="0" builtinId="0"/>
    <cellStyle name="Pilkku" xfId="1" builtinId="3"/>
    <cellStyle name="Valuutta" xfId="2" builtinId="4"/>
  </cellStyles>
  <dxfs count="2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Energiankulutus, kWh</a:t>
            </a:r>
          </a:p>
        </c:rich>
      </c:tx>
      <c:layout>
        <c:manualLayout>
          <c:xMode val="edge"/>
          <c:yMode val="edge"/>
          <c:x val="0.2996406855056809"/>
          <c:y val="3.57609414680592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Taul2!$G$74:$G$82</c:f>
              <c:numCache>
                <c:formatCode>0</c:formatCode>
                <c:ptCount val="9"/>
                <c:pt idx="0" formatCode="General">
                  <c:v>0</c:v>
                </c:pt>
                <c:pt idx="1">
                  <c:v>199.9999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200.0001</c:v>
                </c:pt>
              </c:numCache>
            </c:numRef>
          </c:xVal>
          <c:yVal>
            <c:numRef>
              <c:f>Taul2!$H$74:$H$82</c:f>
              <c:numCache>
                <c:formatCode>General</c:formatCode>
                <c:ptCount val="9"/>
                <c:pt idx="0">
                  <c:v>0</c:v>
                </c:pt>
                <c:pt idx="1">
                  <c:v>292.98096226146367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37-4D99-8671-6DEC0C16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17816"/>
        <c:axId val="507615000"/>
      </c:scatterChart>
      <c:valAx>
        <c:axId val="507617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200"/>
                  <a:t>Matka, km</a:t>
                </a:r>
              </a:p>
            </c:rich>
          </c:tx>
          <c:layout>
            <c:manualLayout>
              <c:xMode val="edge"/>
              <c:yMode val="edge"/>
              <c:x val="0.42558185174607377"/>
              <c:y val="0.91781505176247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7615000"/>
        <c:crosses val="autoZero"/>
        <c:crossBetween val="midCat"/>
      </c:valAx>
      <c:valAx>
        <c:axId val="50761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200"/>
                  <a:t>Kulutettu energia, kWh</a:t>
                </a:r>
              </a:p>
            </c:rich>
          </c:tx>
          <c:layout>
            <c:manualLayout>
              <c:xMode val="edge"/>
              <c:yMode val="edge"/>
              <c:x val="2.7862030892749728E-2"/>
              <c:y val="0.334607569426608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7617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Energiankulutus, kWh</a:t>
            </a:r>
          </a:p>
        </c:rich>
      </c:tx>
      <c:layout>
        <c:manualLayout>
          <c:xMode val="edge"/>
          <c:yMode val="edge"/>
          <c:x val="0.3325067804024496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Taul2!$G$74:$G$82</c:f>
              <c:numCache>
                <c:formatCode>0</c:formatCode>
                <c:ptCount val="9"/>
                <c:pt idx="0" formatCode="General">
                  <c:v>0</c:v>
                </c:pt>
                <c:pt idx="1">
                  <c:v>199.9999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200.0001</c:v>
                </c:pt>
              </c:numCache>
            </c:numRef>
          </c:xVal>
          <c:yVal>
            <c:numRef>
              <c:f>Taul2!$H$74:$H$82</c:f>
              <c:numCache>
                <c:formatCode>General</c:formatCode>
                <c:ptCount val="9"/>
                <c:pt idx="0">
                  <c:v>0</c:v>
                </c:pt>
                <c:pt idx="1">
                  <c:v>292.98096226146367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97-463D-9566-73A2D98D5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17816"/>
        <c:axId val="507615000"/>
      </c:scatterChart>
      <c:valAx>
        <c:axId val="507617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Matka,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7615000"/>
        <c:crosses val="autoZero"/>
        <c:crossBetween val="midCat"/>
      </c:valAx>
      <c:valAx>
        <c:axId val="50761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Kulutettu energia,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7617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checked="Checked" fmlaLink="$B$2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22</xdr:row>
          <xdr:rowOff>0</xdr:rowOff>
        </xdr:from>
        <xdr:to>
          <xdr:col>2</xdr:col>
          <xdr:colOff>19050</xdr:colOff>
          <xdr:row>22</xdr:row>
          <xdr:rowOff>180975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0</xdr:row>
      <xdr:rowOff>11206</xdr:rowOff>
    </xdr:from>
    <xdr:ext cx="2061398" cy="456527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1206"/>
          <a:ext cx="2061398" cy="456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i-FI" sz="3200" u="sng"/>
            <a:t>Lähtötiedot</a:t>
          </a:r>
        </a:p>
      </xdr:txBody>
    </xdr:sp>
    <xdr:clientData/>
  </xdr:oneCellAnchor>
  <xdr:oneCellAnchor>
    <xdr:from>
      <xdr:col>8</xdr:col>
      <xdr:colOff>190500</xdr:colOff>
      <xdr:row>0</xdr:row>
      <xdr:rowOff>0</xdr:rowOff>
    </xdr:from>
    <xdr:ext cx="2714625" cy="593239"/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62750" y="0"/>
          <a:ext cx="271462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3200" u="sng"/>
            <a:t>Tulokset</a:t>
          </a:r>
        </a:p>
      </xdr:txBody>
    </xdr:sp>
    <xdr:clientData/>
  </xdr:oneCellAnchor>
  <xdr:twoCellAnchor>
    <xdr:from>
      <xdr:col>8</xdr:col>
      <xdr:colOff>0</xdr:colOff>
      <xdr:row>21</xdr:row>
      <xdr:rowOff>145675</xdr:rowOff>
    </xdr:from>
    <xdr:to>
      <xdr:col>12</xdr:col>
      <xdr:colOff>1075764</xdr:colOff>
      <xdr:row>43</xdr:row>
      <xdr:rowOff>179294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557212</xdr:colOff>
      <xdr:row>64</xdr:row>
      <xdr:rowOff>57150</xdr:rowOff>
    </xdr:from>
    <xdr:to>
      <xdr:col>14</xdr:col>
      <xdr:colOff>419100</xdr:colOff>
      <xdr:row>84</xdr:row>
      <xdr:rowOff>128587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Sininen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98F0-02C6-4F24-9886-1157C838763F}">
  <sheetPr codeName="Taul1">
    <pageSetUpPr autoPageBreaks="0"/>
  </sheetPr>
  <dimension ref="A1:AB60"/>
  <sheetViews>
    <sheetView tabSelected="1" topLeftCell="A12" zoomScaleNormal="100" workbookViewId="0">
      <selection activeCell="F36" sqref="F36"/>
    </sheetView>
  </sheetViews>
  <sheetFormatPr defaultRowHeight="15" x14ac:dyDescent="0.25"/>
  <cols>
    <col min="1" max="1" width="31.7109375" bestFit="1" customWidth="1"/>
    <col min="2" max="2" width="10.7109375" customWidth="1"/>
    <col min="3" max="3" width="12.7109375" customWidth="1"/>
    <col min="4" max="4" width="9.140625" customWidth="1"/>
    <col min="5" max="7" width="8.7109375" customWidth="1"/>
    <col min="8" max="8" width="8.5703125" customWidth="1"/>
    <col min="9" max="9" width="9.85546875" customWidth="1"/>
    <col min="10" max="10" width="25" customWidth="1"/>
    <col min="11" max="11" width="15.5703125" bestFit="1" customWidth="1"/>
    <col min="12" max="12" width="15" customWidth="1"/>
    <col min="13" max="13" width="16.42578125" customWidth="1"/>
    <col min="14" max="14" width="11.7109375" customWidth="1"/>
    <col min="15" max="15" width="19.7109375" customWidth="1"/>
    <col min="16" max="16" width="15.7109375" customWidth="1"/>
    <col min="17" max="17" width="13.7109375" customWidth="1"/>
    <col min="18" max="18" width="11.42578125" customWidth="1"/>
  </cols>
  <sheetData>
    <row r="1" spans="1:28" x14ac:dyDescent="0.25">
      <c r="A1" s="31"/>
      <c r="B1" s="103"/>
      <c r="C1" s="104" t="s">
        <v>122</v>
      </c>
      <c r="D1" s="32"/>
      <c r="E1" s="32"/>
      <c r="F1" s="125"/>
      <c r="G1" s="32" t="s">
        <v>139</v>
      </c>
      <c r="H1" s="105"/>
      <c r="I1" s="50"/>
      <c r="J1" s="50"/>
      <c r="K1" s="50"/>
      <c r="L1" s="50"/>
      <c r="M1" s="50"/>
      <c r="N1" s="32"/>
      <c r="O1" s="32"/>
      <c r="P1" s="32"/>
      <c r="Q1" s="32"/>
      <c r="R1" s="105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x14ac:dyDescent="0.25">
      <c r="A2" s="30"/>
      <c r="B2" s="70"/>
      <c r="C2" s="78" t="s">
        <v>121</v>
      </c>
      <c r="D2" s="106"/>
      <c r="E2" s="106"/>
      <c r="F2" s="128"/>
      <c r="G2" s="106" t="s">
        <v>140</v>
      </c>
      <c r="H2" s="108"/>
      <c r="I2" s="107"/>
      <c r="J2" s="107"/>
      <c r="K2" s="107"/>
      <c r="L2" s="107"/>
      <c r="M2" s="107"/>
      <c r="N2" s="106"/>
      <c r="O2" s="106"/>
      <c r="P2" s="106"/>
      <c r="Q2" s="106"/>
      <c r="R2" s="108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5.75" thickBot="1" x14ac:dyDescent="0.3">
      <c r="A3" s="119"/>
      <c r="B3" s="122"/>
      <c r="C3" s="123" t="s">
        <v>138</v>
      </c>
      <c r="D3" s="55"/>
      <c r="E3" s="55"/>
      <c r="F3" s="55"/>
      <c r="G3" s="55"/>
      <c r="H3" s="56"/>
      <c r="I3" s="107"/>
      <c r="J3" s="107"/>
      <c r="K3" s="107"/>
      <c r="L3" s="107"/>
      <c r="M3" s="107"/>
      <c r="N3" s="106"/>
      <c r="O3" s="106"/>
      <c r="P3" s="106"/>
      <c r="Q3" s="106"/>
      <c r="R3" s="108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x14ac:dyDescent="0.25">
      <c r="A4" s="31"/>
      <c r="B4" s="32"/>
      <c r="C4" s="32"/>
      <c r="D4" s="32"/>
      <c r="E4" s="32"/>
      <c r="F4" s="32"/>
      <c r="G4" s="32"/>
      <c r="H4" s="105"/>
      <c r="I4" s="50"/>
      <c r="J4" s="50"/>
      <c r="K4" s="50"/>
      <c r="L4" s="50"/>
      <c r="M4" s="51"/>
      <c r="N4" s="31"/>
      <c r="O4" s="32"/>
      <c r="P4" s="32"/>
      <c r="Q4" s="32"/>
      <c r="R4" s="105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x14ac:dyDescent="0.25">
      <c r="A5" s="45" t="s">
        <v>110</v>
      </c>
      <c r="B5" s="21">
        <v>1</v>
      </c>
      <c r="C5" s="124">
        <v>2</v>
      </c>
      <c r="D5" s="126">
        <v>3</v>
      </c>
      <c r="E5" s="126">
        <v>4</v>
      </c>
      <c r="F5" s="126">
        <v>5</v>
      </c>
      <c r="G5" s="107"/>
      <c r="H5" s="52"/>
      <c r="I5" s="107"/>
      <c r="J5" s="109" t="s">
        <v>15</v>
      </c>
      <c r="K5" s="110"/>
      <c r="L5" s="107"/>
      <c r="M5" s="52"/>
      <c r="N5" s="111"/>
      <c r="O5" s="112" t="s">
        <v>150</v>
      </c>
      <c r="P5" s="106"/>
      <c r="Q5" s="106"/>
      <c r="R5" s="108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x14ac:dyDescent="0.25">
      <c r="A6" s="69" t="s">
        <v>11</v>
      </c>
      <c r="B6" s="72">
        <v>54000</v>
      </c>
      <c r="C6" s="71">
        <v>0</v>
      </c>
      <c r="D6" s="59">
        <v>0</v>
      </c>
      <c r="E6" s="59">
        <v>0</v>
      </c>
      <c r="F6" s="59">
        <v>0</v>
      </c>
      <c r="G6" s="107"/>
      <c r="H6" s="52"/>
      <c r="I6" s="107"/>
      <c r="J6" s="106"/>
      <c r="K6" s="106"/>
      <c r="L6" s="106"/>
      <c r="M6" s="52"/>
      <c r="N6" s="111"/>
      <c r="O6" s="106"/>
      <c r="P6" s="106"/>
      <c r="Q6" s="106"/>
      <c r="R6" s="108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x14ac:dyDescent="0.25">
      <c r="A7" s="87" t="s">
        <v>2</v>
      </c>
      <c r="B7" s="94">
        <v>7.5</v>
      </c>
      <c r="C7" s="60">
        <v>0</v>
      </c>
      <c r="D7" s="19"/>
      <c r="E7" s="19"/>
      <c r="F7" s="19"/>
      <c r="G7" s="107"/>
      <c r="H7" s="52"/>
      <c r="I7" s="107"/>
      <c r="J7" s="26" t="s">
        <v>123</v>
      </c>
      <c r="K7" s="27">
        <f>Taul2!P14</f>
        <v>292.98096226146367</v>
      </c>
      <c r="L7" s="37" t="s">
        <v>16</v>
      </c>
      <c r="M7" s="52"/>
      <c r="N7" s="106"/>
      <c r="O7" s="79" t="s">
        <v>61</v>
      </c>
      <c r="P7" s="68">
        <f>Taul2!J27</f>
        <v>0.74291601144871133</v>
      </c>
      <c r="Q7" s="98" t="s">
        <v>38</v>
      </c>
      <c r="R7" s="108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x14ac:dyDescent="0.25">
      <c r="A8" s="69" t="s">
        <v>1</v>
      </c>
      <c r="B8" s="68">
        <f>Taul2!A36</f>
        <v>0.73</v>
      </c>
      <c r="C8" s="61">
        <v>0</v>
      </c>
      <c r="D8" s="19"/>
      <c r="E8" s="19"/>
      <c r="F8" s="36"/>
      <c r="G8" s="113"/>
      <c r="H8" s="52"/>
      <c r="I8" s="107"/>
      <c r="J8" s="26" t="s">
        <v>20</v>
      </c>
      <c r="K8" s="137">
        <f>Taul2!J19</f>
        <v>146.49048113073184</v>
      </c>
      <c r="L8" s="38" t="s">
        <v>39</v>
      </c>
      <c r="M8" s="52"/>
      <c r="N8" s="106"/>
      <c r="O8" s="79" t="s">
        <v>89</v>
      </c>
      <c r="P8" s="68">
        <f>Taul2!J28</f>
        <v>0.41017334716604908</v>
      </c>
      <c r="Q8" s="98" t="s">
        <v>38</v>
      </c>
      <c r="R8" s="108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x14ac:dyDescent="0.25">
      <c r="A9" s="87" t="s">
        <v>65</v>
      </c>
      <c r="B9" s="93">
        <f>Taul2!A39</f>
        <v>5.4999999999999997E-3</v>
      </c>
      <c r="C9" s="62">
        <v>0</v>
      </c>
      <c r="D9" s="19"/>
      <c r="E9" s="19"/>
      <c r="F9" s="19"/>
      <c r="G9" s="106"/>
      <c r="H9" s="108"/>
      <c r="I9" s="107"/>
      <c r="J9" s="107"/>
      <c r="K9" s="107"/>
      <c r="L9" s="107"/>
      <c r="M9" s="52"/>
      <c r="N9" s="106"/>
      <c r="O9" s="79" t="str">
        <f>IF(P7-P8&gt;0,"Hintaero, sähkö","Hintaero, diesel")</f>
        <v>Hintaero, sähkö</v>
      </c>
      <c r="P9" s="68">
        <f>IF(P7-P8&gt;0,P7-P8,P8-P7)</f>
        <v>0.33274266428266225</v>
      </c>
      <c r="Q9" s="79" t="s">
        <v>43</v>
      </c>
      <c r="R9" s="108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x14ac:dyDescent="0.25">
      <c r="A10" s="69" t="s">
        <v>12</v>
      </c>
      <c r="B10" s="68">
        <v>0.94</v>
      </c>
      <c r="C10" s="61">
        <v>0</v>
      </c>
      <c r="D10" s="19"/>
      <c r="E10" s="19"/>
      <c r="F10" s="19"/>
      <c r="G10" s="106"/>
      <c r="H10" s="108"/>
      <c r="I10" s="107"/>
      <c r="J10" s="26" t="s">
        <v>90</v>
      </c>
      <c r="K10" s="27">
        <f>Taul2!A49</f>
        <v>292.98096226146367</v>
      </c>
      <c r="L10" s="37" t="s">
        <v>16</v>
      </c>
      <c r="M10" s="52"/>
      <c r="N10" s="106"/>
      <c r="O10" s="107"/>
      <c r="P10" s="106"/>
      <c r="Q10" s="106"/>
      <c r="R10" s="108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x14ac:dyDescent="0.25">
      <c r="A11" s="57"/>
      <c r="B11" s="58"/>
      <c r="C11" s="29"/>
      <c r="D11" s="19"/>
      <c r="E11" s="19"/>
      <c r="F11" s="19"/>
      <c r="G11" s="107"/>
      <c r="H11" s="52"/>
      <c r="I11" s="107"/>
      <c r="J11" s="107"/>
      <c r="K11" s="114"/>
      <c r="L11" s="107"/>
      <c r="M11" s="52"/>
      <c r="N11" s="106"/>
      <c r="O11" s="112" t="s">
        <v>112</v>
      </c>
      <c r="P11" s="106"/>
      <c r="Q11" s="106"/>
      <c r="R11" s="108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x14ac:dyDescent="0.25">
      <c r="A12" s="54" t="s">
        <v>111</v>
      </c>
      <c r="B12" s="66"/>
      <c r="C12" s="33"/>
      <c r="D12" s="19"/>
      <c r="E12" s="19"/>
      <c r="F12" s="19"/>
      <c r="G12" s="107"/>
      <c r="H12" s="52"/>
      <c r="I12" s="41"/>
      <c r="J12" s="138" t="s">
        <v>151</v>
      </c>
      <c r="K12" s="140">
        <f>Taul2!A53*1.05</f>
        <v>307.63001037453688</v>
      </c>
      <c r="L12" s="139" t="s">
        <v>16</v>
      </c>
      <c r="M12" s="53"/>
      <c r="N12" s="106"/>
      <c r="O12" s="107"/>
      <c r="P12" s="107"/>
      <c r="Q12" s="107"/>
      <c r="R12" s="108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x14ac:dyDescent="0.25">
      <c r="A13" s="17" t="s">
        <v>109</v>
      </c>
      <c r="B13" s="72">
        <v>20</v>
      </c>
      <c r="C13" s="33"/>
      <c r="D13" s="19"/>
      <c r="E13" s="19"/>
      <c r="F13" s="19"/>
      <c r="G13" s="107"/>
      <c r="H13" s="52"/>
      <c r="I13" s="107"/>
      <c r="J13" s="26" t="s">
        <v>152</v>
      </c>
      <c r="K13" s="39">
        <f>Taul2!A57</f>
        <v>361.91765926416105</v>
      </c>
      <c r="L13" s="23" t="s">
        <v>16</v>
      </c>
      <c r="M13" s="52"/>
      <c r="N13" s="106"/>
      <c r="O13" s="79" t="s">
        <v>154</v>
      </c>
      <c r="P13" s="131">
        <f>ROUND(Taul3!J30, -3)</f>
        <v>92000</v>
      </c>
      <c r="Q13" s="79" t="s">
        <v>143</v>
      </c>
      <c r="R13" s="108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x14ac:dyDescent="0.25">
      <c r="A14" s="30"/>
      <c r="B14" s="34"/>
      <c r="C14" s="34"/>
      <c r="D14" s="35"/>
      <c r="E14" s="34"/>
      <c r="F14" s="34"/>
      <c r="G14" s="107"/>
      <c r="H14" s="52"/>
      <c r="I14" s="107"/>
      <c r="J14" s="112" t="s">
        <v>113</v>
      </c>
      <c r="K14" s="106"/>
      <c r="L14" s="106"/>
      <c r="M14" s="52"/>
      <c r="N14" s="106"/>
      <c r="O14" s="79" t="s">
        <v>155</v>
      </c>
      <c r="P14" s="131">
        <f>ROUND(Taul3!J29,-3)</f>
        <v>167000</v>
      </c>
      <c r="Q14" s="79" t="s">
        <v>143</v>
      </c>
      <c r="R14" s="108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x14ac:dyDescent="0.25">
      <c r="A15" s="45" t="s">
        <v>118</v>
      </c>
      <c r="B15" s="25">
        <v>1</v>
      </c>
      <c r="C15" s="18">
        <v>2</v>
      </c>
      <c r="D15" s="20">
        <v>3</v>
      </c>
      <c r="E15" s="18">
        <v>4</v>
      </c>
      <c r="F15" s="20">
        <v>5</v>
      </c>
      <c r="G15" s="107"/>
      <c r="H15" s="52"/>
      <c r="I15" s="107"/>
      <c r="J15" s="106" t="str" cm="1">
        <f t="array" ref="J15:K21">_xlfn._xlws.FILTER(Taul2!G37:H43,Taul2!H37:H43&gt;Taul2!A57,"Vaadittua ajoneuvoa ei vielä markkinoilla.")</f>
        <v>Tesla Semi (prot.)</v>
      </c>
      <c r="K15" s="115">
        <v>900</v>
      </c>
      <c r="L15" s="106"/>
      <c r="M15" s="52"/>
      <c r="N15" s="106"/>
      <c r="O15" s="107"/>
      <c r="P15" s="107"/>
      <c r="Q15" s="107"/>
      <c r="R15" s="108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x14ac:dyDescent="0.25">
      <c r="A16" s="69" t="s">
        <v>0</v>
      </c>
      <c r="B16" s="73">
        <v>200</v>
      </c>
      <c r="C16" s="59">
        <v>0</v>
      </c>
      <c r="D16" s="59">
        <v>0</v>
      </c>
      <c r="E16" s="59">
        <v>0</v>
      </c>
      <c r="F16" s="59">
        <v>0</v>
      </c>
      <c r="G16" s="26" t="s">
        <v>83</v>
      </c>
      <c r="H16" s="120"/>
      <c r="I16" s="107"/>
      <c r="J16" s="106" t="str">
        <v>Nicola Tre Bev</v>
      </c>
      <c r="K16" s="106">
        <v>738</v>
      </c>
      <c r="L16" s="106"/>
      <c r="M16" s="52"/>
      <c r="N16" s="106"/>
      <c r="O16" s="79" t="s">
        <v>19</v>
      </c>
      <c r="P16" s="80">
        <f>Taul3!J25</f>
        <v>3.2080508906203717</v>
      </c>
      <c r="Q16" s="98" t="s">
        <v>35</v>
      </c>
      <c r="R16" s="108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x14ac:dyDescent="0.25">
      <c r="A17" s="87" t="s">
        <v>4</v>
      </c>
      <c r="B17" s="74">
        <v>85</v>
      </c>
      <c r="C17" s="88">
        <v>0</v>
      </c>
      <c r="D17" s="88">
        <v>0</v>
      </c>
      <c r="E17" s="88">
        <v>0</v>
      </c>
      <c r="F17" s="88">
        <v>0</v>
      </c>
      <c r="G17" s="127">
        <f>Taul2!G13</f>
        <v>200</v>
      </c>
      <c r="H17" s="120" t="s">
        <v>25</v>
      </c>
      <c r="I17" s="107"/>
      <c r="J17" s="106" t="str">
        <v>Scania Electric Truck</v>
      </c>
      <c r="K17" s="106">
        <v>624</v>
      </c>
      <c r="L17" s="106"/>
      <c r="M17" s="52"/>
      <c r="N17" s="106"/>
      <c r="O17" s="106"/>
      <c r="P17" s="106"/>
      <c r="Q17" s="106"/>
      <c r="R17" s="108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x14ac:dyDescent="0.25">
      <c r="A18" s="69" t="s">
        <v>87</v>
      </c>
      <c r="B18" s="75">
        <v>0</v>
      </c>
      <c r="C18" s="64">
        <v>0</v>
      </c>
      <c r="D18" s="64">
        <v>0</v>
      </c>
      <c r="E18" s="64">
        <v>0</v>
      </c>
      <c r="F18" s="64">
        <v>0</v>
      </c>
      <c r="G18" s="106"/>
      <c r="H18" s="108"/>
      <c r="I18" s="107"/>
      <c r="J18" s="106" t="str">
        <v>Mercedes eActros 600</v>
      </c>
      <c r="K18" s="106">
        <v>621</v>
      </c>
      <c r="L18" s="106"/>
      <c r="M18" s="52"/>
      <c r="N18" s="106"/>
      <c r="O18" s="112" t="s">
        <v>50</v>
      </c>
      <c r="P18" s="106"/>
      <c r="Q18" s="106"/>
      <c r="R18" s="108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x14ac:dyDescent="0.25">
      <c r="A19" s="14"/>
      <c r="B19" s="107"/>
      <c r="C19" s="107"/>
      <c r="D19" s="107"/>
      <c r="E19" s="107"/>
      <c r="F19" s="107"/>
      <c r="G19" s="107"/>
      <c r="H19" s="52"/>
      <c r="I19" s="107"/>
      <c r="J19" s="106" t="str">
        <v>Renault T E-Tech</v>
      </c>
      <c r="K19" s="106">
        <v>540</v>
      </c>
      <c r="L19" s="106"/>
      <c r="M19" s="52"/>
      <c r="N19" s="106"/>
      <c r="O19" s="106"/>
      <c r="P19" s="111"/>
      <c r="Q19" s="106"/>
      <c r="R19" s="108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x14ac:dyDescent="0.25">
      <c r="A20" s="44" t="s">
        <v>95</v>
      </c>
      <c r="B20" s="65">
        <v>0</v>
      </c>
      <c r="C20" s="107"/>
      <c r="D20" s="107"/>
      <c r="E20" s="107"/>
      <c r="F20" s="107"/>
      <c r="G20" s="107"/>
      <c r="H20" s="52"/>
      <c r="I20" s="107"/>
      <c r="J20" s="106" t="str">
        <v>Volvo FH Electric</v>
      </c>
      <c r="K20" s="106">
        <v>540</v>
      </c>
      <c r="L20" s="106"/>
      <c r="M20" s="52"/>
      <c r="N20" s="106"/>
      <c r="O20" s="82" t="s">
        <v>45</v>
      </c>
      <c r="P20" s="132">
        <f>Taul2!N25</f>
        <v>1117.513098911583</v>
      </c>
      <c r="Q20" s="81" t="s">
        <v>51</v>
      </c>
      <c r="R20" s="108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x14ac:dyDescent="0.25">
      <c r="A21" s="30"/>
      <c r="B21" s="106"/>
      <c r="C21" s="107"/>
      <c r="D21" s="107"/>
      <c r="E21" s="107"/>
      <c r="F21" s="107"/>
      <c r="G21" s="107"/>
      <c r="H21" s="52"/>
      <c r="I21" s="107"/>
      <c r="J21" s="106" t="str">
        <v>MAN eTGX</v>
      </c>
      <c r="K21" s="106">
        <v>534</v>
      </c>
      <c r="L21" s="106"/>
      <c r="M21" s="52"/>
      <c r="N21" s="106"/>
      <c r="O21" s="101"/>
      <c r="P21" s="133">
        <f>Taul2!N26</f>
        <v>223.50261978231657</v>
      </c>
      <c r="Q21" s="95" t="s">
        <v>54</v>
      </c>
      <c r="R21" s="108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x14ac:dyDescent="0.25">
      <c r="A22" s="54" t="s">
        <v>94</v>
      </c>
      <c r="B22" s="42"/>
      <c r="C22" s="16"/>
      <c r="D22" s="107"/>
      <c r="E22" s="107"/>
      <c r="F22" s="107"/>
      <c r="G22" s="107"/>
      <c r="H22" s="52"/>
      <c r="I22" s="107"/>
      <c r="J22" s="106"/>
      <c r="K22" s="106"/>
      <c r="L22" s="106"/>
      <c r="M22" s="52"/>
      <c r="N22" s="106"/>
      <c r="O22" s="79" t="s">
        <v>48</v>
      </c>
      <c r="P22" s="132">
        <f>Taul2!N27</f>
        <v>58.596192452292733</v>
      </c>
      <c r="Q22" s="81" t="s">
        <v>51</v>
      </c>
      <c r="R22" s="108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x14ac:dyDescent="0.25">
      <c r="A23" s="89" t="s">
        <v>91</v>
      </c>
      <c r="B23" s="97" t="b">
        <v>1</v>
      </c>
      <c r="C23" s="107"/>
      <c r="D23" s="107"/>
      <c r="E23" s="106"/>
      <c r="F23" s="107"/>
      <c r="G23" s="107"/>
      <c r="H23" s="52"/>
      <c r="I23" s="107"/>
      <c r="J23" s="106"/>
      <c r="K23" s="106"/>
      <c r="L23" s="106"/>
      <c r="M23" s="52"/>
      <c r="N23" s="106"/>
      <c r="O23" s="102"/>
      <c r="P23" s="134">
        <f>Taul2!N28</f>
        <v>11.719238490458547</v>
      </c>
      <c r="Q23" s="96" t="s">
        <v>54</v>
      </c>
      <c r="R23" s="108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x14ac:dyDescent="0.25">
      <c r="A24" s="69" t="s">
        <v>100</v>
      </c>
      <c r="B24" s="72">
        <v>200</v>
      </c>
      <c r="C24" s="107"/>
      <c r="D24" s="116"/>
      <c r="E24" s="107"/>
      <c r="F24" s="107"/>
      <c r="G24" s="107"/>
      <c r="H24" s="52"/>
      <c r="I24" s="107"/>
      <c r="J24" s="106"/>
      <c r="K24" s="106"/>
      <c r="L24" s="106"/>
      <c r="M24" s="52"/>
      <c r="N24" s="106"/>
      <c r="O24" s="79" t="s">
        <v>49</v>
      </c>
      <c r="P24" s="132">
        <f>Taul2!N29</f>
        <v>262.21796122400997</v>
      </c>
      <c r="Q24" s="81" t="s">
        <v>51</v>
      </c>
      <c r="R24" s="108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x14ac:dyDescent="0.25">
      <c r="A25" s="87" t="s">
        <v>92</v>
      </c>
      <c r="B25" s="73">
        <v>1000</v>
      </c>
      <c r="C25" s="107"/>
      <c r="D25" s="116"/>
      <c r="E25" s="107"/>
      <c r="F25" s="107"/>
      <c r="G25" s="107"/>
      <c r="H25" s="52"/>
      <c r="I25" s="107"/>
      <c r="J25" s="106"/>
      <c r="K25" s="106"/>
      <c r="L25" s="106"/>
      <c r="M25" s="52"/>
      <c r="N25" s="106"/>
      <c r="O25" s="86"/>
      <c r="P25" s="133">
        <f>Taul2!N30</f>
        <v>52.443592244801991</v>
      </c>
      <c r="Q25" s="95" t="s">
        <v>54</v>
      </c>
      <c r="R25" s="108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x14ac:dyDescent="0.25">
      <c r="A26" s="69" t="s">
        <v>93</v>
      </c>
      <c r="B26" s="73">
        <v>0.75</v>
      </c>
      <c r="C26" s="107"/>
      <c r="D26" s="107"/>
      <c r="E26" s="107"/>
      <c r="F26" s="107"/>
      <c r="G26" s="107"/>
      <c r="H26" s="52"/>
      <c r="I26" s="107"/>
      <c r="J26" s="106"/>
      <c r="K26" s="106"/>
      <c r="L26" s="106"/>
      <c r="M26" s="52"/>
      <c r="N26" s="106"/>
      <c r="O26" s="106"/>
      <c r="P26" s="106"/>
      <c r="Q26" s="106"/>
      <c r="R26" s="108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x14ac:dyDescent="0.25">
      <c r="A27" s="14"/>
      <c r="B27" s="107"/>
      <c r="C27" s="107"/>
      <c r="D27" s="107"/>
      <c r="E27" s="106"/>
      <c r="F27" s="106"/>
      <c r="G27" s="107"/>
      <c r="H27" s="52"/>
      <c r="I27" s="107"/>
      <c r="J27" s="106"/>
      <c r="K27" s="106"/>
      <c r="L27" s="106"/>
      <c r="M27" s="52"/>
      <c r="N27" s="106"/>
      <c r="O27" s="112" t="s">
        <v>55</v>
      </c>
      <c r="P27" s="112"/>
      <c r="Q27" s="106"/>
      <c r="R27" s="108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x14ac:dyDescent="0.25">
      <c r="A28" s="54" t="s">
        <v>19</v>
      </c>
      <c r="B28" s="49"/>
      <c r="C28" s="43"/>
      <c r="D28" s="107"/>
      <c r="E28" s="107"/>
      <c r="F28" s="117"/>
      <c r="G28" s="107"/>
      <c r="H28" s="52"/>
      <c r="I28" s="107"/>
      <c r="J28" s="106"/>
      <c r="K28" s="106"/>
      <c r="L28" s="106"/>
      <c r="M28" s="52"/>
      <c r="N28" s="106"/>
      <c r="O28" s="106"/>
      <c r="P28" s="106"/>
      <c r="Q28" s="106"/>
      <c r="R28" s="108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x14ac:dyDescent="0.25">
      <c r="A29" s="46" t="s">
        <v>29</v>
      </c>
      <c r="B29" s="76">
        <v>400000</v>
      </c>
      <c r="C29" s="48" t="s">
        <v>24</v>
      </c>
      <c r="D29" s="107"/>
      <c r="E29" s="107"/>
      <c r="F29" s="107"/>
      <c r="G29" s="107"/>
      <c r="H29" s="52"/>
      <c r="I29" s="107"/>
      <c r="J29" s="106"/>
      <c r="K29" s="106"/>
      <c r="L29" s="106"/>
      <c r="M29" s="52"/>
      <c r="N29" s="106"/>
      <c r="O29" s="82" t="s">
        <v>47</v>
      </c>
      <c r="P29" s="80">
        <f>Taul2!N34</f>
        <v>211.78338129185803</v>
      </c>
      <c r="Q29" s="81" t="s">
        <v>54</v>
      </c>
      <c r="R29" s="108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x14ac:dyDescent="0.25">
      <c r="A30" s="87" t="s">
        <v>28</v>
      </c>
      <c r="B30" s="72">
        <v>160000</v>
      </c>
      <c r="C30" s="90" t="s">
        <v>24</v>
      </c>
      <c r="D30" s="107"/>
      <c r="E30" s="107"/>
      <c r="F30" s="107"/>
      <c r="G30" s="107"/>
      <c r="H30" s="52"/>
      <c r="I30" s="107"/>
      <c r="J30" s="106"/>
      <c r="K30" s="106"/>
      <c r="L30" s="106"/>
      <c r="M30" s="52"/>
      <c r="N30" s="106"/>
      <c r="O30" s="83" t="s">
        <v>56</v>
      </c>
      <c r="P30" s="84">
        <f>Taul2!N35</f>
        <v>171.05902753751457</v>
      </c>
      <c r="Q30" s="85" t="s">
        <v>54</v>
      </c>
      <c r="R30" s="108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x14ac:dyDescent="0.25">
      <c r="A31" s="44" t="s">
        <v>27</v>
      </c>
      <c r="B31" s="27">
        <f>Taul2!J20</f>
        <v>41.854423180209096</v>
      </c>
      <c r="C31" s="28" t="s">
        <v>40</v>
      </c>
      <c r="D31" s="107"/>
      <c r="E31" s="107"/>
      <c r="F31" s="107"/>
      <c r="G31" s="107"/>
      <c r="H31" s="52"/>
      <c r="I31" s="107"/>
      <c r="J31" s="106"/>
      <c r="K31" s="106"/>
      <c r="L31" s="106"/>
      <c r="M31" s="52"/>
      <c r="N31" s="106"/>
      <c r="O31" s="106"/>
      <c r="P31" s="106"/>
      <c r="Q31" s="106"/>
      <c r="R31" s="108"/>
      <c r="S31" s="13"/>
      <c r="T31" s="13"/>
      <c r="U31" s="136"/>
      <c r="V31" s="13"/>
      <c r="W31" s="13"/>
      <c r="X31" s="13"/>
      <c r="Y31" s="13"/>
      <c r="Z31" s="13"/>
      <c r="AA31" s="13"/>
      <c r="AB31" s="13"/>
    </row>
    <row r="32" spans="1:28" x14ac:dyDescent="0.25">
      <c r="A32" s="44" t="s">
        <v>26</v>
      </c>
      <c r="B32" s="27">
        <f>Taul2!J19</f>
        <v>146.49048113073184</v>
      </c>
      <c r="C32" s="28" t="s">
        <v>39</v>
      </c>
      <c r="D32" s="107"/>
      <c r="E32" s="107"/>
      <c r="F32" s="107"/>
      <c r="G32" s="107"/>
      <c r="H32" s="52"/>
      <c r="I32" s="107"/>
      <c r="J32" s="106"/>
      <c r="K32" s="106"/>
      <c r="L32" s="106"/>
      <c r="M32" s="52"/>
      <c r="N32" s="106"/>
      <c r="O32" s="106"/>
      <c r="P32" s="106"/>
      <c r="Q32" s="106"/>
      <c r="R32" s="108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x14ac:dyDescent="0.25">
      <c r="A33" s="87" t="s">
        <v>30</v>
      </c>
      <c r="B33" s="77">
        <v>1.65</v>
      </c>
      <c r="C33" s="90" t="s">
        <v>42</v>
      </c>
      <c r="D33" s="107"/>
      <c r="E33" s="107"/>
      <c r="F33" s="107"/>
      <c r="G33" s="107"/>
      <c r="H33" s="52"/>
      <c r="I33" s="107"/>
      <c r="J33" s="106"/>
      <c r="K33" s="106"/>
      <c r="L33" s="106"/>
      <c r="M33" s="52"/>
      <c r="N33" s="106"/>
      <c r="O33" s="106"/>
      <c r="P33" s="106"/>
      <c r="Q33" s="106"/>
      <c r="R33" s="108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x14ac:dyDescent="0.25">
      <c r="A34" s="44" t="s">
        <v>60</v>
      </c>
      <c r="B34" s="73">
        <v>2.5</v>
      </c>
      <c r="C34" s="28" t="s">
        <v>42</v>
      </c>
      <c r="D34" s="107"/>
      <c r="E34" s="107"/>
      <c r="F34" s="107"/>
      <c r="G34" s="107"/>
      <c r="H34" s="52"/>
      <c r="I34" s="107"/>
      <c r="J34" s="106"/>
      <c r="K34" s="106"/>
      <c r="L34" s="106"/>
      <c r="M34" s="52"/>
      <c r="N34" s="106"/>
      <c r="O34" s="106"/>
      <c r="P34" s="106"/>
      <c r="Q34" s="106"/>
      <c r="R34" s="108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x14ac:dyDescent="0.25">
      <c r="A35" s="87" t="s">
        <v>31</v>
      </c>
      <c r="B35" s="77">
        <v>28</v>
      </c>
      <c r="C35" s="90" t="s">
        <v>41</v>
      </c>
      <c r="D35" s="107"/>
      <c r="E35" s="107"/>
      <c r="F35" s="107"/>
      <c r="G35" s="107"/>
      <c r="H35" s="52"/>
      <c r="I35" s="107"/>
      <c r="J35" s="106"/>
      <c r="K35" s="106"/>
      <c r="L35" s="106"/>
      <c r="M35" s="52"/>
      <c r="N35" s="106"/>
      <c r="O35" s="106"/>
      <c r="P35" s="106"/>
      <c r="Q35" s="106"/>
      <c r="R35" s="108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x14ac:dyDescent="0.25">
      <c r="A36" s="44" t="s">
        <v>32</v>
      </c>
      <c r="B36" s="72">
        <v>200000</v>
      </c>
      <c r="C36" s="28" t="s">
        <v>25</v>
      </c>
      <c r="D36" s="107"/>
      <c r="E36" s="107"/>
      <c r="F36" s="107"/>
      <c r="G36" s="107"/>
      <c r="H36" s="52"/>
      <c r="I36" s="107"/>
      <c r="J36" s="106"/>
      <c r="K36" s="106"/>
      <c r="L36" s="106"/>
      <c r="M36" s="52"/>
      <c r="N36" s="106"/>
      <c r="O36" s="106"/>
      <c r="P36" s="129"/>
      <c r="Q36" s="106"/>
      <c r="R36" s="108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x14ac:dyDescent="0.25">
      <c r="A37" s="14"/>
      <c r="B37" s="107"/>
      <c r="C37" s="107"/>
      <c r="D37" s="107"/>
      <c r="E37" s="118"/>
      <c r="F37" s="107"/>
      <c r="G37" s="107"/>
      <c r="H37" s="52"/>
      <c r="I37" s="107"/>
      <c r="J37" s="106"/>
      <c r="K37" s="106"/>
      <c r="L37" s="106"/>
      <c r="M37" s="52"/>
      <c r="N37" s="106"/>
      <c r="O37" s="106"/>
      <c r="P37" s="106"/>
      <c r="Q37" s="106"/>
      <c r="R37" s="108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x14ac:dyDescent="0.25">
      <c r="A38" s="54" t="s">
        <v>44</v>
      </c>
      <c r="B38" s="47"/>
      <c r="C38" s="43"/>
      <c r="D38" s="107"/>
      <c r="E38" s="107"/>
      <c r="F38" s="107"/>
      <c r="G38" s="107"/>
      <c r="H38" s="52"/>
      <c r="I38" s="107"/>
      <c r="J38" s="106"/>
      <c r="K38" s="106"/>
      <c r="L38" s="106"/>
      <c r="M38" s="52"/>
      <c r="N38" s="106"/>
      <c r="O38" s="106"/>
      <c r="P38" s="106"/>
      <c r="Q38" s="106"/>
      <c r="R38" s="108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x14ac:dyDescent="0.25">
      <c r="A39" s="46" t="s">
        <v>45</v>
      </c>
      <c r="B39" s="24">
        <v>2670</v>
      </c>
      <c r="C39" s="22" t="s">
        <v>108</v>
      </c>
      <c r="D39" s="40"/>
      <c r="E39" s="107"/>
      <c r="F39" s="107"/>
      <c r="G39" s="107"/>
      <c r="H39" s="52"/>
      <c r="I39" s="107"/>
      <c r="J39" s="106"/>
      <c r="K39" s="106"/>
      <c r="L39" s="106"/>
      <c r="M39" s="52"/>
      <c r="N39" s="106"/>
      <c r="O39" s="106"/>
      <c r="P39" s="106"/>
      <c r="Q39" s="106"/>
      <c r="R39" s="108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x14ac:dyDescent="0.25">
      <c r="A40" s="87" t="s">
        <v>48</v>
      </c>
      <c r="B40" s="91">
        <v>40</v>
      </c>
      <c r="C40" s="92" t="s">
        <v>46</v>
      </c>
      <c r="D40" s="92" t="str">
        <f>"(2023)"</f>
        <v>(2023)</v>
      </c>
      <c r="E40" s="107"/>
      <c r="F40" s="107"/>
      <c r="G40" s="107"/>
      <c r="H40" s="52"/>
      <c r="I40" s="107"/>
      <c r="J40" s="106"/>
      <c r="K40" s="106"/>
      <c r="L40" s="106"/>
      <c r="M40" s="52"/>
      <c r="N40" s="106"/>
      <c r="O40" s="106"/>
      <c r="P40" s="106"/>
      <c r="Q40" s="106"/>
      <c r="R40" s="108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x14ac:dyDescent="0.25">
      <c r="A41" s="44" t="s">
        <v>49</v>
      </c>
      <c r="B41" s="63">
        <v>179</v>
      </c>
      <c r="C41" s="26" t="s">
        <v>46</v>
      </c>
      <c r="D41" s="26" t="str">
        <f>"(2023)"</f>
        <v>(2023)</v>
      </c>
      <c r="E41" s="16"/>
      <c r="F41" s="107"/>
      <c r="G41" s="107"/>
      <c r="H41" s="52"/>
      <c r="I41" s="107"/>
      <c r="J41" s="106"/>
      <c r="K41" s="106"/>
      <c r="L41" s="106"/>
      <c r="M41" s="52"/>
      <c r="N41" s="106"/>
      <c r="O41" s="106"/>
      <c r="P41" s="106"/>
      <c r="Q41" s="106"/>
      <c r="R41" s="108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x14ac:dyDescent="0.25">
      <c r="A42" s="14"/>
      <c r="B42" s="107"/>
      <c r="C42" s="107"/>
      <c r="D42" s="107"/>
      <c r="E42" s="107"/>
      <c r="F42" s="107"/>
      <c r="G42" s="107"/>
      <c r="H42" s="52"/>
      <c r="I42" s="107"/>
      <c r="J42" s="107"/>
      <c r="K42" s="107"/>
      <c r="L42" s="107"/>
      <c r="M42" s="52"/>
      <c r="N42" s="106"/>
      <c r="O42" s="106"/>
      <c r="P42" s="106"/>
      <c r="Q42" s="106"/>
      <c r="R42" s="108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x14ac:dyDescent="0.25">
      <c r="A43" s="14"/>
      <c r="B43" s="107"/>
      <c r="C43" s="107"/>
      <c r="D43" s="107"/>
      <c r="E43" s="107"/>
      <c r="F43" s="107"/>
      <c r="G43" s="107"/>
      <c r="H43" s="52"/>
      <c r="I43" s="107"/>
      <c r="J43" s="107"/>
      <c r="K43" s="107"/>
      <c r="L43" s="107"/>
      <c r="M43" s="52"/>
      <c r="N43" s="106"/>
      <c r="O43" s="106"/>
      <c r="P43" s="106"/>
      <c r="Q43" s="106"/>
      <c r="R43" s="108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5.75" thickBot="1" x14ac:dyDescent="0.3">
      <c r="A44" s="67"/>
      <c r="B44" s="15"/>
      <c r="C44" s="15"/>
      <c r="D44" s="15"/>
      <c r="E44" s="15"/>
      <c r="F44" s="15"/>
      <c r="G44" s="15"/>
      <c r="H44" s="121"/>
      <c r="I44" s="55"/>
      <c r="J44" s="55"/>
      <c r="K44" s="55"/>
      <c r="L44" s="55"/>
      <c r="M44" s="56"/>
      <c r="N44" s="55"/>
      <c r="O44" s="55"/>
      <c r="P44" s="55"/>
      <c r="Q44" s="55"/>
      <c r="R44" s="56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</sheetData>
  <sheetProtection selectLockedCells="1"/>
  <conditionalFormatting sqref="B6">
    <cfRule type="expression" dxfId="26" priority="45">
      <formula>OR(AND($B$6=0,$B$16&lt;&gt;0),AND($B$6=0,$B$17&lt;&gt;0))</formula>
    </cfRule>
  </conditionalFormatting>
  <conditionalFormatting sqref="B16">
    <cfRule type="expression" dxfId="25" priority="37">
      <formula>OR(AND($B$16=0,$B$17&lt;&gt;0),AND($B$16=0,$B$6&lt;&gt;0))</formula>
    </cfRule>
  </conditionalFormatting>
  <conditionalFormatting sqref="B17">
    <cfRule type="expression" dxfId="24" priority="33">
      <formula>OR(AND($B$17=0,$B$16&lt;&gt;0),AND($B$17=0,$B$6&lt;&gt;0))</formula>
    </cfRule>
  </conditionalFormatting>
  <conditionalFormatting sqref="B24">
    <cfRule type="expression" dxfId="23" priority="16">
      <formula>$B$24&gt;$G$17</formula>
    </cfRule>
  </conditionalFormatting>
  <conditionalFormatting sqref="C5">
    <cfRule type="expression" dxfId="22" priority="12">
      <formula>AND($C$6=0,$C$16=0,$C$17=0)</formula>
    </cfRule>
    <cfRule type="expression" dxfId="21" priority="13">
      <formula>AND($C$6&lt;&gt;0,$C$16&lt;&gt;0,$C$17&lt;&gt;0)</formula>
    </cfRule>
  </conditionalFormatting>
  <conditionalFormatting sqref="C6">
    <cfRule type="expression" dxfId="20" priority="46">
      <formula>OR(AND($C$6=0,$C$17&lt;&gt;0),AND($C$6=0,$C$16&lt;&gt;0))</formula>
    </cfRule>
  </conditionalFormatting>
  <conditionalFormatting sqref="C16">
    <cfRule type="expression" dxfId="19" priority="22">
      <formula>OR(AND($C$16=0,$C$17&lt;&gt;0),AND($C$16=0,$C$6&lt;&gt;0))</formula>
    </cfRule>
  </conditionalFormatting>
  <conditionalFormatting sqref="C17">
    <cfRule type="expression" dxfId="18" priority="35">
      <formula>OR(AND($C$17=0,$C$6&lt;&gt;0),AND($C$17=0,$C$16&lt;&gt;0))</formula>
    </cfRule>
  </conditionalFormatting>
  <conditionalFormatting sqref="D5">
    <cfRule type="expression" dxfId="17" priority="10">
      <formula>AND($D$6&lt;&gt;0,$D$16&lt;&gt;0,$D$17&lt;&gt;0)</formula>
    </cfRule>
    <cfRule type="expression" dxfId="16" priority="11">
      <formula>AND($D$6=0,$D$16=0,$D$17=0)</formula>
    </cfRule>
  </conditionalFormatting>
  <conditionalFormatting sqref="D6">
    <cfRule type="expression" dxfId="15" priority="5">
      <formula>OR(AND($D$6=0,$D$17&lt;&gt;0),AND($D$6=0,$D$16&lt;&gt;0))</formula>
    </cfRule>
  </conditionalFormatting>
  <conditionalFormatting sqref="D16">
    <cfRule type="expression" dxfId="14" priority="27">
      <formula>OR(AND($D$16=0,$D$6&lt;&gt;0),AND($D$16=0,$D$17&lt;&gt;0))</formula>
    </cfRule>
  </conditionalFormatting>
  <conditionalFormatting sqref="D17">
    <cfRule type="expression" dxfId="13" priority="31">
      <formula>OR(AND($D$17=0,$D$16&lt;&gt;0),AND($D$17=0,$D$6&lt;&gt;0))</formula>
    </cfRule>
  </conditionalFormatting>
  <conditionalFormatting sqref="E5">
    <cfRule type="expression" dxfId="12" priority="8">
      <formula>AND($E$6&lt;&gt;0,$E$16&lt;&gt;0,$E$17&lt;&gt;0)</formula>
    </cfRule>
    <cfRule type="expression" dxfId="11" priority="9">
      <formula>AND($E$6=0,$E$16=0,$E$17=0)</formula>
    </cfRule>
  </conditionalFormatting>
  <conditionalFormatting sqref="E6">
    <cfRule type="expression" dxfId="10" priority="47">
      <formula>OR(AND($E$6=0,$E$17&lt;&gt;0),AND($E$6=0,$E$16&lt;&gt;0))</formula>
    </cfRule>
  </conditionalFormatting>
  <conditionalFormatting sqref="E16">
    <cfRule type="expression" dxfId="9" priority="29">
      <formula>OR(AND($E$16=0,$E$6&lt;&gt;0),AND($E$16=0,$E$17&lt;&gt;0))</formula>
    </cfRule>
  </conditionalFormatting>
  <conditionalFormatting sqref="E17">
    <cfRule type="expression" dxfId="8" priority="28">
      <formula>OR(AND($E$17=0,$E$6&lt;&gt;0),AND($E$17=0,$E$16&lt;&gt;0))</formula>
    </cfRule>
  </conditionalFormatting>
  <conditionalFormatting sqref="F5">
    <cfRule type="expression" dxfId="7" priority="6">
      <formula>AND($F$6&lt;&gt;0,$F$16&lt;&gt;0,$F$17&lt;&gt;0)</formula>
    </cfRule>
    <cfRule type="expression" dxfId="6" priority="7">
      <formula>AND($F$6=0,$F$16=0,$F$17=0)</formula>
    </cfRule>
  </conditionalFormatting>
  <conditionalFormatting sqref="F6">
    <cfRule type="expression" dxfId="5" priority="4">
      <formula>OR(AND($F$6=0,$F$17&lt;&gt;0),AND($F$6=0,$F$16&lt;&gt;0))</formula>
    </cfRule>
  </conditionalFormatting>
  <conditionalFormatting sqref="F16">
    <cfRule type="expression" dxfId="4" priority="26">
      <formula>OR(AND($F$16=0,$F$17&lt;&gt;0),AND($F$16=0,$F$6&lt;&gt;0))</formula>
    </cfRule>
  </conditionalFormatting>
  <conditionalFormatting sqref="F17">
    <cfRule type="expression" dxfId="3" priority="25">
      <formula>OR(AND($F$17=0,$F$16&lt;&gt;0),AND($F$17=0,$F$6&lt;&gt;0))</formula>
    </cfRule>
  </conditionalFormatting>
  <conditionalFormatting sqref="K10">
    <cfRule type="expression" dxfId="2" priority="14">
      <formula>$K$10&gt;0</formula>
    </cfRule>
  </conditionalFormatting>
  <conditionalFormatting sqref="K12">
    <cfRule type="colorScale" priority="1">
      <colorScale>
        <cfvo type="num" val="425"/>
        <cfvo type="num" val="459"/>
        <cfvo type="num" val="552.5"/>
        <color theme="8" tint="-0.249977111117893"/>
        <color rgb="FFFFFF00"/>
        <color rgb="FFFF0000"/>
      </colorScale>
    </cfRule>
  </conditionalFormatting>
  <conditionalFormatting sqref="K13">
    <cfRule type="colorScale" priority="18">
      <colorScale>
        <cfvo type="num" val="500"/>
        <cfvo type="num" val="540"/>
        <cfvo type="num" val="650"/>
        <color rgb="FF00B050"/>
        <color rgb="FFFFFF00"/>
        <color rgb="FFFF0000"/>
      </colorScale>
    </cfRule>
  </conditionalFormatting>
  <conditionalFormatting sqref="P16">
    <cfRule type="expression" dxfId="1" priority="3">
      <formula>$B$36*$P$16&gt;1000000</formula>
    </cfRule>
    <cfRule type="expression" dxfId="0" priority="49">
      <formula>$B$36*$P$16&gt;1200000</formula>
    </cfRule>
  </conditionalFormatting>
  <dataValidations xWindow="311" yWindow="412" count="37">
    <dataValidation type="decimal" allowBlank="1" showErrorMessage="1" errorTitle="Virheellinen arvo" error="Latausaseman sijainti ylittää matkan kokonaisarvon, tai on negatiivinen." sqref="B24" xr:uid="{9EBF1180-41AB-4D2A-BFD2-620032A80651}">
      <formula1>0</formula1>
      <formula2>G17</formula2>
    </dataValidation>
    <dataValidation type="decimal" allowBlank="1" showInputMessage="1" showErrorMessage="1" errorTitle="Epärealistinen arvo" error="Ilmoitettu otsapinta-ala on epärealistisen suuri tai negatiivinen." promptTitle="Otsapinta-ala tarkemmin." prompt="Mikäli annat tähän soluun arvon, sitä käytetään laskennassa oletusarvon sijaan. " sqref="C7" xr:uid="{8E405E05-CC86-45F6-9520-D090E1C3157D}">
      <formula1>0</formula1>
      <formula2>20</formula2>
    </dataValidation>
    <dataValidation type="decimal" allowBlank="1" showInputMessage="1" showErrorMessage="1" errorTitle="Arvo ei realistinen" error="Ilmoitettu ilmavastuskerroin ylittää tai alittaa realistisen arvon. Syötä arvo välillä 0-3,0. " promptTitle="Ilmanvastuskerroin tarkemmin." prompt="Mikäli annat tähän soluun arvon, sitä käytetään laskennassa oletusarvon sijaan." sqref="C8" xr:uid="{B9D98663-595E-4761-9603-43223F958969}">
      <formula1>0</formula1>
      <formula2>3</formula2>
    </dataValidation>
    <dataValidation allowBlank="1" showInputMessage="1" showErrorMessage="1" promptTitle="Kokonaismatka" prompt="Kokonaismatka, mikä ajetaan aiemmin ilmoitetulla massalla." sqref="A16" xr:uid="{A3256493-0338-43BA-9ACC-8ACBA92DDB0F}"/>
    <dataValidation allowBlank="1" showInputMessage="1" showErrorMessage="1" promptTitle="Keskinopeus" prompt="Keskinopeus yllä ilmoitetulla reitillä. " sqref="A17" xr:uid="{E092A4B3-F607-4578-AE53-0665026BF556}"/>
    <dataValidation allowBlank="1" showInputMessage="1" showErrorMessage="1" promptTitle="Korkeusero." prompt="Lähtö- ja päätepisteen korkeusero, käytetään reitin keskiarvonousun laskennassa. " sqref="A18" xr:uid="{451285B7-2BE6-4E0F-A136-B2D566B5363B}"/>
    <dataValidation type="decimal" operator="greaterThanOrEqual" allowBlank="1" showInputMessage="1" showErrorMessage="1" errorTitle="Virheellinen arvo" error="Vierintävastuskerroin ei voi olla negatiivinen. Syötä positiivinen arvo." promptTitle="Vierintävastuskerroin tarkemmin." prompt="Mikäli annat tähän soluun arvon, sitä käytetään laskennassa oletusarvon sijaan. " sqref="C9" xr:uid="{82ED5C72-4C6B-43B6-9671-74D9613302D8}">
      <formula1>0</formula1>
    </dataValidation>
    <dataValidation type="whole" allowBlank="1" showInputMessage="1" showErrorMessage="1" errorTitle="Virheellinen massa." error="Ilmoitettu kokonaismassa ei realistinen. Syötä arvo välillä 0-200 000 kg" sqref="B6:F6" xr:uid="{8C44FB08-31D4-4597-8624-EBCF80775084}">
      <formula1>0</formula1>
      <formula2>200000</formula2>
    </dataValidation>
    <dataValidation type="decimal" operator="greaterThan" allowBlank="1" showInputMessage="1" showErrorMessage="1" errorTitle="Virheellinen arvo" error="Minimiarvo -34, pienemmät arvot aiheuttavat negatiivisen juuren ja virheen laskennassa. " sqref="B13" xr:uid="{BA9E1A34-793F-4812-8BB6-9C6EF662A169}">
      <formula1>-34</formula1>
    </dataValidation>
    <dataValidation allowBlank="1" showInputMessage="1" showErrorMessage="1" promptTitle="Muu energiankulutus" prompt="Mikäli käytetään muuta laitteistoa, mikä ottaa energiansa ajoakulta, ilmoita keskiarvoinen teho [kW] tähän. " sqref="A20" xr:uid="{B2DEB36B-1D7C-4A57-B706-B09480AC3CD5}"/>
    <dataValidation type="decimal" allowBlank="1" showInputMessage="1" showErrorMessage="1" errorTitle="Hyötysuhde virheellinen" error="Hyötysuhde ei voi olla negatiivinen tai yli yhden. Syötä arvo 0,00 - 1,00 väliltä." sqref="B10" xr:uid="{7B4A488F-6646-46D7-A952-E99B820B83F5}">
      <formula1>0</formula1>
      <formula2>1</formula2>
    </dataValidation>
    <dataValidation type="decimal" operator="greaterThan" allowBlank="1" showInputMessage="1" showErrorMessage="1" errorTitle="Virheellinen aika." error="Lataukseen käytetty aika ei voi olla negatiivinen. Syötä positiivinen aika tunteina. " sqref="B26" xr:uid="{E54CF37D-BCE7-4CA9-83C9-79315C195FCD}">
      <formula1>0</formula1>
    </dataValidation>
    <dataValidation type="whole" operator="greaterThan" allowBlank="1" showInputMessage="1" showErrorMessage="1" errorTitle="Virheellinen arvo." error="Latausteho ei voi olla negatiivinen. Syötä positiivinen arvo." sqref="B25" xr:uid="{78F8C3E2-4A22-4A23-BD1B-DC2FA2B5219D}">
      <formula1>0</formula1>
    </dataValidation>
    <dataValidation allowBlank="1" showInputMessage="1" showErrorMessage="1" errorTitle="Negatiivinen arvo." error="Ilmoita muu energiankulutus positiivisena arvona. " sqref="B20" xr:uid="{ECCB47CF-B20B-4372-A7A6-DC58050EA210}"/>
    <dataValidation type="whole" operator="greaterThanOrEqual" allowBlank="1" showInputMessage="1" showErrorMessage="1" errorTitle="Negatiivinen arvo." error="Ilmoita nopeus positiivisena arvona." sqref="B17:F17" xr:uid="{B7D26A01-A044-4C58-8078-5889FC0FCAD9}">
      <formula1>0</formula1>
    </dataValidation>
    <dataValidation allowBlank="1" showInputMessage="1" showErrorMessage="1" promptTitle="Kokonaishyötysuhde" prompt="Hyötysuhde akun ja tien pinnan välillä, sisältää energian- ja voimasiirtohäviöt." sqref="A10" xr:uid="{1BF6CABB-51BE-4715-BA28-7CF2DB2B0428}"/>
    <dataValidation allowBlank="1" showInputMessage="1" showErrorMessage="1" promptTitle="Vierintävastuskerroin." prompt="Vierintävastuskerroin 25 celsiusasteen lämpötilassa. Käytetään referenssilukuna kun lasketaan vierintävastusta esimerkiksi pakkasella. " sqref="A9" xr:uid="{D909445F-479C-4AC4-92E6-2FC9352B2ED3}"/>
    <dataValidation allowBlank="1" showInputMessage="1" showErrorMessage="1" promptTitle="Lataus matkalla?" prompt="Mikäli lataus on mahdollista, rasti ruutuun." sqref="A23" xr:uid="{28575DFA-7E32-41DE-ACF5-B1FD5F016FBD}"/>
    <dataValidation allowBlank="1" showInputMessage="1" showErrorMessage="1" promptTitle="Latausaseman sijainti." prompt="Latausaseman etäisyys reitin aloituspisteestä. Ei voi olla negatiivinen tai yli reitin kokonaispituuden._x000a_" sqref="A24" xr:uid="{D2702394-15CB-41B5-8732-D54CD016A95F}"/>
    <dataValidation type="whole" operator="greaterThan" allowBlank="1" showInputMessage="1" showErrorMessage="1" errorTitle="Virheellinen arvo." error="Ostohinta ei voi olla negativinen." promptTitle="Sähköajoneuvon ostotinta euroina" sqref="B29" xr:uid="{9528332B-D75B-43BF-95A7-10697FAF87FD}">
      <formula1>0</formula1>
    </dataValidation>
    <dataValidation allowBlank="1" showInputMessage="1" showErrorMessage="1" promptTitle="Sähköversion ostohinta euroina." prompt="Syötä sähköajoneuvon ostohinta euroina." sqref="A29" xr:uid="{DC26EDA3-231D-4E5E-B616-3ED848911BE2}"/>
    <dataValidation allowBlank="1" showInputMessage="1" showErrorMessage="1" promptTitle="Dieselversion ostohinta euroina." prompt="Syötä dieselajoneuvon ostohinta euroina._x000a_" sqref="A30" xr:uid="{17B2DBEC-C40A-448C-B518-9976D5932983}"/>
    <dataValidation type="whole" operator="greaterThan" allowBlank="1" showInputMessage="1" showErrorMessage="1" errorTitle="Virheellinen arvo." error="Ostohinta ei voi olla negatiivinen._x000a_" sqref="B30" xr:uid="{9F272956-329A-4FC7-8995-CD755770A0BE}">
      <formula1>0</formula1>
    </dataValidation>
    <dataValidation type="decimal" operator="greaterThan" allowBlank="1" showInputMessage="1" showErrorMessage="1" errorTitle="Virheellinen arvo." error="Dieselin litrahinta ei voi olla negatiivinen." sqref="B33" xr:uid="{95325F4E-DA9E-4EB7-9FAB-9407D6C6A217}">
      <formula1>0</formula1>
    </dataValidation>
    <dataValidation type="decimal" operator="greaterThan" allowBlank="1" showInputMessage="1" showErrorMessage="1" errorTitle="Virheellinen arvo." error="Urean litrahinta ei voi olla negatiivinen._x000a_" sqref="B34" xr:uid="{E7A2F5D9-6E0E-40F4-B8BC-F54465989E3E}">
      <formula1>0</formula1>
    </dataValidation>
    <dataValidation allowBlank="1" showInputMessage="1" showErrorMessage="1" promptTitle="Arvioitu dieselin kulutus." prompt="Vastaavan dieselajoneuvon arvioitu kulutus. " sqref="A31" xr:uid="{A5B3599A-FE28-4757-81AF-EBBB691F72A7}"/>
    <dataValidation type="whole" operator="greaterThan" allowBlank="1" showInputMessage="1" showErrorMessage="1" errorTitle="Virheellinen arvo." error="Vuosittainen kilometrimäärä ei voi olla negatiivinen." sqref="B36" xr:uid="{0B718A2A-2F22-4775-9FB8-E18022BDDFC9}">
      <formula1>0</formula1>
    </dataValidation>
    <dataValidation type="decimal" operator="greaterThan" allowBlank="1" showInputMessage="1" showErrorMessage="1" errorTitle="Virheellinen arvo." error="Latauksen hinta ei voi olla negatiivinen." sqref="B35" xr:uid="{DE702EF1-892B-47C3-99C2-E28A8EF77CF1}">
      <formula1>0</formula1>
    </dataValidation>
    <dataValidation allowBlank="1" showInputMessage="1" showErrorMessage="1" promptTitle="Lataussähkön hinta." prompt="Syötä latauksen hinta, snt / kWh." sqref="A35" xr:uid="{B8CF40F5-0E16-4494-96DB-9EC1FA4379A0}"/>
    <dataValidation allowBlank="1" showInputMessage="1" showErrorMessage="1" promptTitle="Latausaseman teho." prompt="Laturilta saatava latausteho. " sqref="A25" xr:uid="{BF4D3B69-FE2D-4AD7-9418-63A0AA5EA9E5}"/>
    <dataValidation allowBlank="1" showInputMessage="1" showErrorMessage="1" promptTitle="Latausaika." prompt="Syötä lataukseen käytettävissä oleva aika tunteina._x000a_" sqref="A26" xr:uid="{8A30E8EE-ABCF-4754-A649-F9FDDE3F38DC}"/>
    <dataValidation type="decimal" allowBlank="1" showInputMessage="1" showErrorMessage="1" errorTitle="Virheellinen arvo." error="Hyötysuhde ei voi olla negatiivinen tai yli yhden. Syötä arvo välillä 0-1. " promptTitle="Hyötysuhde tarkemmin." prompt="Mikäli annat tähän soluun arvon, sitä käytetään laskennassa oletusarvon sijaan. " sqref="C10" xr:uid="{80AC6A9F-88D3-4510-BC7A-E5A430969D0E}">
      <formula1>0</formula1>
      <formula2>1</formula2>
    </dataValidation>
    <dataValidation type="whole" operator="greaterThanOrEqual" allowBlank="1" showInputMessage="1" showErrorMessage="1" errorTitle="Negatiivinen arvo." error="Ajettu matka ei voi olla negatiivinen. Syötä positiivinen arvo." sqref="B16:F16" xr:uid="{1168ECAB-C276-4CF8-BE7C-543D0953789D}">
      <formula1>0</formula1>
    </dataValidation>
    <dataValidation allowBlank="1" showInputMessage="1" showErrorMessage="1" promptTitle="Nimelliskapasiteetti." prompt="Oletettu käyttökapasiteetti 85 % nimelliskapasiteetista. " sqref="J13:K13" xr:uid="{D75E2D79-BB18-4AFA-9E63-DFA7B091B05D}"/>
    <dataValidation allowBlank="1" showInputMessage="1" showErrorMessage="1" promptTitle="Keskimääräinen kulutus." prompt="Keskimääräinen kulutus koko matkalta. " sqref="J8" xr:uid="{87EA1C67-41CB-4615-B36E-FDA87521F5E3}"/>
    <dataValidation allowBlank="1" showInputMessage="1" showErrorMessage="1" promptTitle="Kokonaiskulutus." prompt="Reitin kuluttama kokonaisenergiamäärä, ei sisällä latauksia. " sqref="J7" xr:uid="{E863F37B-4668-4A5B-A73E-B65D8DD5FF8F}"/>
    <dataValidation allowBlank="1" showInputMessage="1" showErrorMessage="1" promptTitle="Käyttökapasiteetti" prompt="Pienin tarvittava käyttökapasiteetti, sisältää 5 % varmuuskertoimen." sqref="J12 K12" xr:uid="{05A940B7-A822-4F97-B0C9-3072EB423E13}"/>
  </dataValidations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247650</xdr:colOff>
                    <xdr:row>22</xdr:row>
                    <xdr:rowOff>0</xdr:rowOff>
                  </from>
                  <to>
                    <xdr:col>2</xdr:col>
                    <xdr:colOff>19050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8DEC-1A27-4D77-B560-5E5CA8AD81B5}">
  <sheetPr codeName="Taul2"/>
  <dimension ref="A1:T83"/>
  <sheetViews>
    <sheetView workbookViewId="0">
      <selection activeCell="A33" sqref="A33"/>
    </sheetView>
  </sheetViews>
  <sheetFormatPr defaultRowHeight="15" x14ac:dyDescent="0.25"/>
  <cols>
    <col min="1" max="1" width="33" bestFit="1" customWidth="1"/>
    <col min="2" max="2" width="10" customWidth="1"/>
    <col min="3" max="3" width="9.7109375" customWidth="1"/>
    <col min="4" max="4" width="10.140625" customWidth="1"/>
    <col min="5" max="5" width="9.42578125" customWidth="1"/>
    <col min="6" max="6" width="9.85546875" customWidth="1"/>
    <col min="7" max="7" width="20.7109375" customWidth="1"/>
    <col min="8" max="8" width="16.7109375" bestFit="1" customWidth="1"/>
    <col min="9" max="9" width="19" bestFit="1" customWidth="1"/>
    <col min="10" max="10" width="13.28515625" customWidth="1"/>
    <col min="11" max="11" width="12.140625" bestFit="1" customWidth="1"/>
    <col min="12" max="12" width="11" bestFit="1" customWidth="1"/>
    <col min="13" max="13" width="13.28515625" bestFit="1" customWidth="1"/>
    <col min="14" max="14" width="13.7109375" bestFit="1" customWidth="1"/>
    <col min="15" max="15" width="9.7109375" customWidth="1"/>
    <col min="16" max="16" width="12" bestFit="1" customWidth="1"/>
    <col min="17" max="17" width="4.85546875" bestFit="1" customWidth="1"/>
  </cols>
  <sheetData>
    <row r="1" spans="1:17" x14ac:dyDescent="0.25">
      <c r="A1" t="s">
        <v>7</v>
      </c>
    </row>
    <row r="3" spans="1:17" x14ac:dyDescent="0.25">
      <c r="A3" t="s">
        <v>8</v>
      </c>
      <c r="I3" t="s">
        <v>84</v>
      </c>
      <c r="L3" t="s">
        <v>13</v>
      </c>
    </row>
    <row r="4" spans="1:17" x14ac:dyDescent="0.25">
      <c r="B4" s="1">
        <v>1</v>
      </c>
      <c r="C4" s="1">
        <v>2</v>
      </c>
      <c r="D4" s="1">
        <v>3</v>
      </c>
      <c r="E4" s="1">
        <v>4</v>
      </c>
      <c r="F4" s="1">
        <v>5</v>
      </c>
      <c r="G4" t="s">
        <v>85</v>
      </c>
      <c r="I4" t="s">
        <v>23</v>
      </c>
      <c r="J4" s="2">
        <f>MAX(J7:J11)</f>
        <v>121.80350896112206</v>
      </c>
      <c r="K4" t="s">
        <v>10</v>
      </c>
    </row>
    <row r="5" spans="1:17" x14ac:dyDescent="0.25">
      <c r="A5" t="s">
        <v>72</v>
      </c>
      <c r="B5" s="3">
        <f>(1/2)*Taul2!H32*IF(Taul1!C7=0,Taul1!B7,Taul1!C7)*IF(Taul1!C8=0,IF(Taul1!B6&gt;56000,0.8,0.73),Taul1!C8)*((Taul1!B17)/3.6)^2</f>
        <v>1838.128955153137</v>
      </c>
      <c r="C5" s="3">
        <f>(1/2)*Taul2!H32*IF(Taul1!C7=0,Taul1!B7,Taul1!C7)*IF(Taul1!C8=0,IF(Taul1!C6&gt;56000,0.8,0.73),Taul1!C8)*((Taul1!C17)/3.6)^2</f>
        <v>0</v>
      </c>
      <c r="D5" s="3">
        <f>(1/2)*Taul2!H32*IF(Taul1!C7=0,Taul1!B7,Taul1!C7)*IF(Taul1!C8=0,IF(Taul1!D6&gt;56000,0.8,0.73),Taul1!C8)*((Taul1!D17)/3.6)^2</f>
        <v>0</v>
      </c>
      <c r="E5" s="3">
        <f>(1/2)*Taul2!H32*IF(Taul1!C7=0,Taul1!B7,Taul1!C7)*IF(Taul1!C8=0,IF(Taul1!E6&gt;56000,0.8,0.73),Taul1!C8)*((Taul1!E17)/3.6)^2</f>
        <v>0</v>
      </c>
      <c r="F5" s="3">
        <f>(1/2)*Taul2!H32*IF(Taul1!C7=0,Taul1!B7,Taul1!C7)*IF(Taul1!C8=0,IF(Taul1!F6&gt;56000,0.8,0.73),Taul1!C8)*((Taul1!F17)/3.6)^2</f>
        <v>0</v>
      </c>
      <c r="G5" s="2">
        <f>MAX(B5:F5)</f>
        <v>1838.128955153137</v>
      </c>
      <c r="P5" t="s">
        <v>130</v>
      </c>
    </row>
    <row r="6" spans="1:17" x14ac:dyDescent="0.25">
      <c r="A6" t="s">
        <v>73</v>
      </c>
      <c r="B6" s="3">
        <f>IF(Taul1!B17=0,0,IF(Taul1!C9=0,IF(Taul1!B6&gt;56000,0.006,0.0055),Taul1!C9)*Taul1!B6*9.80665*COS(RADIANS(B11))*A33)</f>
        <v>3011.0836839578865</v>
      </c>
      <c r="C6" s="3">
        <f>IF(Taul1!C17=0,0,IF(Taul1!C9=0,IF(Taul1!C6&gt;56000,0.006,0.0055),Taul1!C9)*Taul1!C6*9.80665*COS(RADIANS(C11))*A33)</f>
        <v>0</v>
      </c>
      <c r="D6" s="3">
        <f>IF(Taul1!D17=0,0,IF(Taul1!C9=0,IF(Taul1!D6&gt;56000,0.006,0.0055),Taul1!C9)*Taul1!D6*9.80665*COS(RADIANS(D11))*A33)</f>
        <v>0</v>
      </c>
      <c r="E6" s="3">
        <f>IF(Taul1!E17=0,0,IF(Taul1!C9=0,IF(Taul1!E6&gt;56000,0.006,0.0055),Taul1!C9)*Taul1!E6*9.80665*COS(RADIANS(E11))*A33)</f>
        <v>0</v>
      </c>
      <c r="F6" s="3">
        <f>IF(Taul1!F17=0,0,IF(Taul1!C9=0,IF(Taul1!F6&gt;56000,0.006,0.0055),Taul1!C9)*Taul1!F6*9.80665*COS(RADIANS(F11))*A33)</f>
        <v>0</v>
      </c>
      <c r="G6" s="2">
        <f>MAX(B6:F6)</f>
        <v>3011.0836839578865</v>
      </c>
    </row>
    <row r="7" spans="1:17" x14ac:dyDescent="0.25">
      <c r="A7" t="s">
        <v>74</v>
      </c>
      <c r="B7" s="3">
        <f>IF(Taul1!B17=0,0,Taul1!B6*9.80665*SIN(RADIANS(B11)))</f>
        <v>0</v>
      </c>
      <c r="C7" s="3">
        <f>IF(Taul1!C17=0,0,Taul1!C6*9.80665*SIN(RADIANS(C11)))</f>
        <v>0</v>
      </c>
      <c r="D7" s="3">
        <f>IF(Taul1!D17=0,0,Taul1!D6*9.80665*SIN(RADIANS(D11)))</f>
        <v>0</v>
      </c>
      <c r="E7" s="3">
        <f>IF(Taul1!E17=0,0,Taul1!E6*9.80665*SIN(RADIANS(E11)))</f>
        <v>0</v>
      </c>
      <c r="F7" s="3">
        <f>IF(Taul1!F17=0,0,Taul1!F6*9.80665*SIN(RADIANS(F11)))</f>
        <v>0</v>
      </c>
      <c r="G7" s="2">
        <f>MAX(B7:F7)</f>
        <v>0</v>
      </c>
      <c r="I7">
        <v>1</v>
      </c>
      <c r="J7" s="8">
        <f>IF(Taul2!B21&gt;0,Taul2!B23,(IF(Taul2!C29=0,Taul2!B29,Taul2!C29))*B21)</f>
        <v>121.80350896112206</v>
      </c>
      <c r="L7">
        <v>1</v>
      </c>
      <c r="M7">
        <f>IF(OR(Taul1!B16=0,Taul1!B17=0,Taul1!B6=0),0,Taul1!B16/Taul1!B17)</f>
        <v>2.3529411764705883</v>
      </c>
      <c r="N7" t="s">
        <v>14</v>
      </c>
      <c r="O7" t="s">
        <v>77</v>
      </c>
      <c r="P7">
        <f>J7*M7</f>
        <v>286.5964916732284</v>
      </c>
      <c r="Q7" t="s">
        <v>16</v>
      </c>
    </row>
    <row r="8" spans="1:17" x14ac:dyDescent="0.25">
      <c r="B8" s="3"/>
      <c r="C8" s="3"/>
      <c r="D8" s="2"/>
      <c r="E8" s="2"/>
      <c r="F8" s="2"/>
      <c r="G8" s="2"/>
      <c r="I8">
        <v>2</v>
      </c>
      <c r="J8" s="8">
        <f>IF(Taul2!C21&gt;0,Taul2!C23,(IF(Taul2!C29=0,Taul2!B29,Taul2!C29))*C21)</f>
        <v>0</v>
      </c>
      <c r="L8">
        <v>2</v>
      </c>
      <c r="M8">
        <f>IF(OR(Taul1!C16=0,Taul1!C17=0,Taul1!C6=0),0,Taul1!C16/Taul1!C17)</f>
        <v>0</v>
      </c>
      <c r="N8" t="s">
        <v>14</v>
      </c>
      <c r="O8" t="s">
        <v>78</v>
      </c>
      <c r="P8">
        <f>J8*M8</f>
        <v>0</v>
      </c>
      <c r="Q8" t="s">
        <v>16</v>
      </c>
    </row>
    <row r="9" spans="1:17" x14ac:dyDescent="0.25">
      <c r="A9" t="s">
        <v>75</v>
      </c>
      <c r="B9" s="3">
        <f>B5+B6+B7</f>
        <v>4849.2126391110232</v>
      </c>
      <c r="C9" s="3">
        <f t="shared" ref="C9:F9" si="0">C5+C6+C7</f>
        <v>0</v>
      </c>
      <c r="D9" s="3">
        <f t="shared" si="0"/>
        <v>0</v>
      </c>
      <c r="E9" s="3">
        <f t="shared" si="0"/>
        <v>0</v>
      </c>
      <c r="F9" s="3">
        <f t="shared" si="0"/>
        <v>0</v>
      </c>
      <c r="G9" s="2">
        <f>MAX(B9:F9)</f>
        <v>4849.2126391110232</v>
      </c>
      <c r="I9">
        <v>3</v>
      </c>
      <c r="J9" s="8">
        <f>IF(Taul2!D21&gt;0,Taul2!D23,(IF(Taul2!C29=0,Taul2!B29,Taul2!C29))*D21)</f>
        <v>0</v>
      </c>
      <c r="L9">
        <v>3</v>
      </c>
      <c r="M9">
        <f>IF(OR(Taul1!D16=0,Taul1!D17=0,Taul1!D6=0),0,Taul1!D16/Taul1!D17)</f>
        <v>0</v>
      </c>
      <c r="N9" t="s">
        <v>14</v>
      </c>
      <c r="O9" t="s">
        <v>79</v>
      </c>
      <c r="P9">
        <f>J9*M9</f>
        <v>0</v>
      </c>
      <c r="Q9" t="s">
        <v>16</v>
      </c>
    </row>
    <row r="10" spans="1:17" x14ac:dyDescent="0.25">
      <c r="D10" s="1"/>
      <c r="E10" s="1"/>
      <c r="G10" t="s">
        <v>86</v>
      </c>
      <c r="I10">
        <v>4</v>
      </c>
      <c r="J10" s="8">
        <f>IF(Taul2!E21&gt;0,Taul2!E23,(IF(Taul2!C29=0,Taul2!B29,Taul2!C29))*E21)</f>
        <v>0</v>
      </c>
      <c r="L10">
        <v>4</v>
      </c>
      <c r="M10">
        <f>IF(OR(Taul1!E16=0,Taul1!E17=0,Taul1!E6=0),0,Taul1!E16/Taul1!E17)</f>
        <v>0</v>
      </c>
      <c r="N10" t="s">
        <v>14</v>
      </c>
      <c r="O10" t="s">
        <v>80</v>
      </c>
      <c r="P10">
        <f>J10*M10</f>
        <v>0</v>
      </c>
      <c r="Q10" t="s">
        <v>16</v>
      </c>
    </row>
    <row r="11" spans="1:17" x14ac:dyDescent="0.25">
      <c r="A11" t="s">
        <v>5</v>
      </c>
      <c r="B11" s="8">
        <f>IF(Taul1!B18=0,0,ATAN(Taul1!B18/Taul1!B16/1000)*180/PI())</f>
        <v>0</v>
      </c>
      <c r="C11" s="8">
        <f>IF(Taul1!C18=0,0,ATAN(Taul1!C18/Taul1!C16/1000)*180/PI())</f>
        <v>0</v>
      </c>
      <c r="D11" s="5">
        <f>IF(Taul1!D18=0,0,ATAN(Taul1!D18/Taul1!D16/1000)*180/PI())</f>
        <v>0</v>
      </c>
      <c r="E11" s="5">
        <f>IF(Taul1!E18=0,0,ATAN(Taul1!E18/Taul1!E16/1000)*180/PI())</f>
        <v>0</v>
      </c>
      <c r="F11" s="5">
        <f>IF(Taul1!F18=0,0,ATAN(Taul1!F18/Taul1!F16/1000)*180/PI())</f>
        <v>0</v>
      </c>
      <c r="G11" s="2">
        <f>MIN(B9:F9)</f>
        <v>0</v>
      </c>
      <c r="I11">
        <v>5</v>
      </c>
      <c r="J11" s="8">
        <f>IF(Taul2!F21&gt;0,Taul2!F23,(IF(Taul2!C29=0,Taul2!B29,Taul2!C29))*F21)</f>
        <v>0</v>
      </c>
      <c r="L11">
        <v>5</v>
      </c>
      <c r="M11">
        <f>IF(OR(Taul1!F16=0,Taul1!F17=0,Taul1!F6=0),0,Taul1!F16/Taul1!F17)</f>
        <v>0</v>
      </c>
      <c r="N11" t="s">
        <v>14</v>
      </c>
      <c r="O11" t="s">
        <v>81</v>
      </c>
      <c r="P11">
        <f>J11*M11</f>
        <v>0</v>
      </c>
      <c r="Q11" t="s">
        <v>16</v>
      </c>
    </row>
    <row r="12" spans="1:17" x14ac:dyDescent="0.25">
      <c r="D12" s="1"/>
      <c r="E12" s="1"/>
    </row>
    <row r="13" spans="1:17" x14ac:dyDescent="0.25">
      <c r="A13" t="s">
        <v>88</v>
      </c>
      <c r="B13" s="10">
        <f>IF(OR(Taul1!B6=0,Taul1!B17=0),0,Taul1!B16)</f>
        <v>200</v>
      </c>
      <c r="C13" s="10">
        <f>IF(OR(Taul1!C17=0,Taul1!C6=0),0,Taul1!C16)</f>
        <v>0</v>
      </c>
      <c r="D13" s="10">
        <f>IF(OR(Taul1!D6=0,Taul1!D17=0),0,Taul1!D16)</f>
        <v>0</v>
      </c>
      <c r="E13" s="10">
        <f>IF(OR(Taul1!E6=0,Taul1!E17=0),0,Taul1!E16)</f>
        <v>0</v>
      </c>
      <c r="F13" s="10">
        <f>IF(OR(Taul1!F6=0,Taul1!F17=0),0,Taul1!F16)</f>
        <v>0</v>
      </c>
      <c r="G13" s="10">
        <f>B13+C13+D13+E13+F13</f>
        <v>200</v>
      </c>
      <c r="I13" t="s">
        <v>125</v>
      </c>
      <c r="J13">
        <f>IF(B13=0,0,(P7+(D26+D27)*M7)/B13*100)</f>
        <v>146.49048113073184</v>
      </c>
      <c r="L13" t="s">
        <v>76</v>
      </c>
      <c r="M13">
        <f>M7+M8+M9+M10+M11</f>
        <v>2.3529411764705883</v>
      </c>
      <c r="N13" t="s">
        <v>14</v>
      </c>
      <c r="O13" s="6" t="s">
        <v>22</v>
      </c>
      <c r="P13">
        <f>P7+P8+P9+P10+P11</f>
        <v>286.5964916732284</v>
      </c>
      <c r="Q13" t="s">
        <v>16</v>
      </c>
    </row>
    <row r="14" spans="1:17" x14ac:dyDescent="0.25">
      <c r="D14" s="1"/>
      <c r="E14" s="1"/>
      <c r="I14" t="s">
        <v>126</v>
      </c>
      <c r="J14">
        <f>IF(C13=0,0,(P8+(D26+D27)*M8)/C13*100)</f>
        <v>0</v>
      </c>
      <c r="O14" t="s">
        <v>17</v>
      </c>
      <c r="P14" s="7">
        <f>P13+D28</f>
        <v>292.98096226146367</v>
      </c>
      <c r="Q14" t="s">
        <v>16</v>
      </c>
    </row>
    <row r="15" spans="1:17" x14ac:dyDescent="0.25">
      <c r="A15" t="s">
        <v>9</v>
      </c>
      <c r="B15" s="1"/>
      <c r="C15" s="1"/>
      <c r="I15" t="s">
        <v>127</v>
      </c>
      <c r="J15">
        <f>IF(D13=0,0,(P9+(D26+D27)*M9)/D13*100)</f>
        <v>0</v>
      </c>
    </row>
    <row r="16" spans="1:17" x14ac:dyDescent="0.25">
      <c r="B16" s="1">
        <v>1</v>
      </c>
      <c r="C16" s="1">
        <v>2</v>
      </c>
      <c r="D16" s="1">
        <v>3</v>
      </c>
      <c r="E16" s="1">
        <v>4</v>
      </c>
      <c r="F16" s="1">
        <v>5</v>
      </c>
      <c r="G16" t="s">
        <v>85</v>
      </c>
      <c r="I16" t="s">
        <v>128</v>
      </c>
      <c r="J16">
        <f>IF(E13=0,0,(P10+(D26+D27)*M10)/E13*100)</f>
        <v>0</v>
      </c>
    </row>
    <row r="17" spans="1:20" x14ac:dyDescent="0.25">
      <c r="A17" t="s">
        <v>68</v>
      </c>
      <c r="B17" s="3">
        <f>B5*Taul1!B17/3.6/1000</f>
        <v>43.400266996671284</v>
      </c>
      <c r="C17" s="3">
        <f>C5*Taul1!C17/3.6/1000</f>
        <v>0</v>
      </c>
      <c r="D17" s="3">
        <f>D5*Taul1!$D$17/3.6/1000</f>
        <v>0</v>
      </c>
      <c r="E17" s="3">
        <f>E5*Taul1!$E$17/3.6/1000</f>
        <v>0</v>
      </c>
      <c r="F17" s="3">
        <f>F5*Taul1!$F$17/3.6/1000</f>
        <v>0</v>
      </c>
      <c r="G17" s="2">
        <f>MAX(B17:F17)</f>
        <v>43.400266996671284</v>
      </c>
      <c r="I17" t="s">
        <v>129</v>
      </c>
      <c r="J17">
        <f>IF(F13=0,0,(P11+(D26+D27)*M11)/F13*100)</f>
        <v>0</v>
      </c>
      <c r="T17" s="1"/>
    </row>
    <row r="18" spans="1:20" x14ac:dyDescent="0.25">
      <c r="A18" t="s">
        <v>67</v>
      </c>
      <c r="B18" s="3">
        <f>B6*Taul1!B17/3.6/1000</f>
        <v>71.095031426783436</v>
      </c>
      <c r="C18" s="3">
        <f>C6*Taul1!C17/3.6/1000</f>
        <v>0</v>
      </c>
      <c r="D18" s="3">
        <f>D6*Taul1!$D$17/3.6/1000</f>
        <v>0</v>
      </c>
      <c r="E18" s="3">
        <f>E6*Taul1!$E$17/3.6/1000</f>
        <v>0</v>
      </c>
      <c r="F18" s="3">
        <f>F6*Taul1!$F$17/3.6/1000</f>
        <v>0</v>
      </c>
      <c r="G18" s="2">
        <f t="shared" ref="G18:G19" si="1">MAX(B18:F18)</f>
        <v>71.095031426783436</v>
      </c>
      <c r="O18" t="s">
        <v>64</v>
      </c>
    </row>
    <row r="19" spans="1:20" x14ac:dyDescent="0.25">
      <c r="A19" t="s">
        <v>69</v>
      </c>
      <c r="B19" s="3">
        <f>B7*Taul1!B17/3.6/1000</f>
        <v>0</v>
      </c>
      <c r="C19" s="3">
        <f>C7*Taul1!C17/3.6/1000</f>
        <v>0</v>
      </c>
      <c r="D19" s="3">
        <f>D7*Taul1!$D$17/3.6/1000</f>
        <v>0</v>
      </c>
      <c r="E19" s="3">
        <f>E7*Taul1!$E$17/3.6/1000</f>
        <v>0</v>
      </c>
      <c r="F19" s="3">
        <f>F7*Taul1!$F$17/3.6/1000</f>
        <v>0</v>
      </c>
      <c r="G19" s="2">
        <f t="shared" si="1"/>
        <v>0</v>
      </c>
      <c r="I19" t="s">
        <v>124</v>
      </c>
      <c r="J19" s="11">
        <f>IF(G13=0,0,(P14)/((G13)/100))</f>
        <v>146.49048113073184</v>
      </c>
      <c r="K19" t="s">
        <v>21</v>
      </c>
      <c r="M19" t="s">
        <v>63</v>
      </c>
      <c r="N19">
        <v>10</v>
      </c>
      <c r="O19">
        <v>0.35</v>
      </c>
    </row>
    <row r="20" spans="1:20" x14ac:dyDescent="0.25">
      <c r="B20" s="2"/>
      <c r="C20" s="3"/>
      <c r="D20" s="2"/>
      <c r="E20" s="2"/>
      <c r="F20" s="2"/>
      <c r="G20" s="2"/>
      <c r="I20" t="s">
        <v>62</v>
      </c>
      <c r="J20" s="11">
        <f>J19/N19/O19</f>
        <v>41.854423180209096</v>
      </c>
      <c r="K20" t="s">
        <v>40</v>
      </c>
    </row>
    <row r="21" spans="1:20" x14ac:dyDescent="0.25">
      <c r="A21" t="s">
        <v>70</v>
      </c>
      <c r="B21" s="3">
        <f>(B17+B18+B19)</f>
        <v>114.49529842345473</v>
      </c>
      <c r="C21" s="3">
        <f>C17+C18+C19</f>
        <v>0</v>
      </c>
      <c r="D21" s="3">
        <f>D17+D18+D19</f>
        <v>0</v>
      </c>
      <c r="E21" s="3">
        <f>E17+E18+E19</f>
        <v>0</v>
      </c>
      <c r="F21" s="3">
        <f>(F17+F18+F19)</f>
        <v>0</v>
      </c>
      <c r="G21" s="2">
        <f>MAX(B21:F21)</f>
        <v>114.49529842345473</v>
      </c>
    </row>
    <row r="22" spans="1:20" x14ac:dyDescent="0.25">
      <c r="B22" s="3"/>
      <c r="C22" s="3"/>
      <c r="D22" s="3"/>
      <c r="E22" s="3"/>
      <c r="F22" s="3"/>
      <c r="G22" s="2"/>
    </row>
    <row r="23" spans="1:20" x14ac:dyDescent="0.25">
      <c r="A23" t="s">
        <v>71</v>
      </c>
      <c r="B23" s="3">
        <f>Taul2!B21/(IF(Taul1!C10=0,Taul1!B10,Taul1!C10))</f>
        <v>121.80350896112206</v>
      </c>
      <c r="C23" s="3">
        <f>Taul2!C21/Taul1!$B$10</f>
        <v>0</v>
      </c>
      <c r="D23" s="3">
        <f>Taul2!D21/Taul1!$B$10</f>
        <v>0</v>
      </c>
      <c r="E23" s="3">
        <f>Taul2!E21/Taul1!$B$10</f>
        <v>0</v>
      </c>
      <c r="F23" s="3">
        <f>Taul2!F21/Taul1!$B$10</f>
        <v>0</v>
      </c>
      <c r="G23" s="2">
        <f>MAX(B23:F23)</f>
        <v>121.80350896112206</v>
      </c>
      <c r="I23" t="s">
        <v>33</v>
      </c>
      <c r="M23" t="s">
        <v>50</v>
      </c>
    </row>
    <row r="25" spans="1:20" x14ac:dyDescent="0.25">
      <c r="J25" s="12">
        <f>IF(G13=0,"∞",(Taul1!B29-Taul1!B30)/((Taul2!J27-Taul2!J28)*Taul1!B36))</f>
        <v>3.6063905498472826</v>
      </c>
      <c r="K25" t="s">
        <v>34</v>
      </c>
      <c r="M25" t="s">
        <v>45</v>
      </c>
      <c r="N25" s="5">
        <f>J20*Taul1!B39/100</f>
        <v>1117.513098911583</v>
      </c>
      <c r="O25" t="s">
        <v>51</v>
      </c>
    </row>
    <row r="26" spans="1:20" x14ac:dyDescent="0.25">
      <c r="C26" t="s">
        <v>106</v>
      </c>
      <c r="D26" s="12">
        <f>IF(10&lt;Taul1!B13&lt;25,3.3*10^-5*Taul1!B13^3+1.3985*10^-3*Taul1!B13^2-0.0917*Taul1!B13+2.424+1,3.3*10^-5*Taul1!B13^3+1.3985*10^-3*Taul1!B13^2-0.0917*Taul1!B13+2.424+1+0.3)</f>
        <v>2.7133999999999996</v>
      </c>
      <c r="E26" t="s">
        <v>10</v>
      </c>
      <c r="N26" s="5">
        <f>N25*Taul1!B36/1000/1000</f>
        <v>223.50261978231657</v>
      </c>
      <c r="O26" t="s">
        <v>82</v>
      </c>
    </row>
    <row r="27" spans="1:20" x14ac:dyDescent="0.25">
      <c r="C27" t="s">
        <v>107</v>
      </c>
      <c r="D27" s="1">
        <f>Taul1!B20</f>
        <v>0</v>
      </c>
      <c r="E27" t="s">
        <v>10</v>
      </c>
      <c r="I27" t="s">
        <v>36</v>
      </c>
      <c r="J27" s="8">
        <f>(Taul1!B31*Taul1!B33+Taul2!B30/100*Taul1!B31*Taul1!B34)/100</f>
        <v>0.74291601144871133</v>
      </c>
      <c r="K27" t="s">
        <v>24</v>
      </c>
      <c r="M27" t="s">
        <v>52</v>
      </c>
      <c r="N27" s="5">
        <f>J19*Taul1!B40/100</f>
        <v>58.596192452292733</v>
      </c>
      <c r="O27" t="s">
        <v>51</v>
      </c>
    </row>
    <row r="28" spans="1:20" x14ac:dyDescent="0.25">
      <c r="A28" s="145"/>
      <c r="B28" s="145"/>
      <c r="C28" s="145" t="s">
        <v>76</v>
      </c>
      <c r="D28" s="3">
        <f>(D26+D27)*M13</f>
        <v>6.3844705882352937</v>
      </c>
      <c r="E28" t="s">
        <v>16</v>
      </c>
      <c r="I28" t="s">
        <v>37</v>
      </c>
      <c r="J28" s="8">
        <f>Taul1!B32*Taul1!B35/100/100</f>
        <v>0.41017334716604908</v>
      </c>
      <c r="K28" t="s">
        <v>24</v>
      </c>
      <c r="N28" s="5">
        <f>N27*Taul1!B36/1000/1000</f>
        <v>11.719238490458547</v>
      </c>
      <c r="O28" t="s">
        <v>82</v>
      </c>
    </row>
    <row r="29" spans="1:20" x14ac:dyDescent="0.25">
      <c r="A29" s="148" t="s">
        <v>18</v>
      </c>
      <c r="B29" s="149">
        <v>0.95</v>
      </c>
      <c r="C29" s="150">
        <v>0</v>
      </c>
      <c r="I29" t="s">
        <v>141</v>
      </c>
      <c r="J29" s="2">
        <f>Taul2!J27*Taul1!B36</f>
        <v>148583.20228974227</v>
      </c>
      <c r="K29" t="s">
        <v>24</v>
      </c>
      <c r="M29" t="s">
        <v>53</v>
      </c>
      <c r="N29" s="5">
        <f>J19*Taul1!B41/100</f>
        <v>262.21796122400997</v>
      </c>
      <c r="O29" t="s">
        <v>51</v>
      </c>
    </row>
    <row r="30" spans="1:20" x14ac:dyDescent="0.25">
      <c r="A30" s="148" t="s">
        <v>58</v>
      </c>
      <c r="B30" s="142">
        <v>5</v>
      </c>
      <c r="C30" s="151" t="s">
        <v>59</v>
      </c>
      <c r="I30" t="s">
        <v>142</v>
      </c>
      <c r="J30" s="2">
        <f>J28*Taul1!B36</f>
        <v>82034.669433209812</v>
      </c>
      <c r="K30" t="s">
        <v>24</v>
      </c>
      <c r="N30" s="5">
        <f>N29*Taul1!B36/1000/1000</f>
        <v>52.443592244801991</v>
      </c>
      <c r="O30" t="s">
        <v>82</v>
      </c>
    </row>
    <row r="31" spans="1:20" x14ac:dyDescent="0.25">
      <c r="G31" t="s">
        <v>3</v>
      </c>
      <c r="H31" s="9">
        <v>101.3</v>
      </c>
    </row>
    <row r="32" spans="1:20" x14ac:dyDescent="0.25">
      <c r="A32" t="s">
        <v>66</v>
      </c>
      <c r="G32" t="s">
        <v>6</v>
      </c>
      <c r="H32" s="4">
        <f>H31/(0.2869*(273.15+Taul1!B13))</f>
        <v>1.2044506174355107</v>
      </c>
      <c r="M32" t="s">
        <v>57</v>
      </c>
    </row>
    <row r="33" spans="1:14" x14ac:dyDescent="0.25">
      <c r="A33" s="135">
        <f>IF(Taul1!B13&lt;-34,-0.11797*-16.1276,-0.11797*(SQRT(Taul1!B13+34.231)-16.1276))</f>
        <v>1.0338218354091464</v>
      </c>
    </row>
    <row r="34" spans="1:14" x14ac:dyDescent="0.25">
      <c r="M34" t="s">
        <v>47</v>
      </c>
      <c r="N34">
        <f>N26-N28</f>
        <v>211.78338129185803</v>
      </c>
    </row>
    <row r="35" spans="1:14" x14ac:dyDescent="0.25">
      <c r="A35" t="s">
        <v>96</v>
      </c>
      <c r="F35" t="s">
        <v>114</v>
      </c>
      <c r="M35" t="s">
        <v>56</v>
      </c>
      <c r="N35">
        <f>N26-N30</f>
        <v>171.05902753751457</v>
      </c>
    </row>
    <row r="36" spans="1:14" x14ac:dyDescent="0.25">
      <c r="A36">
        <f>IF(Taul1!B6&gt;56000,0.8,0.73)</f>
        <v>0.73</v>
      </c>
    </row>
    <row r="37" spans="1:14" x14ac:dyDescent="0.25">
      <c r="G37" t="s">
        <v>145</v>
      </c>
      <c r="H37" s="100">
        <v>900</v>
      </c>
    </row>
    <row r="38" spans="1:14" x14ac:dyDescent="0.25">
      <c r="A38" t="s">
        <v>99</v>
      </c>
      <c r="G38" t="s">
        <v>144</v>
      </c>
      <c r="H38">
        <v>738</v>
      </c>
    </row>
    <row r="39" spans="1:14" x14ac:dyDescent="0.25">
      <c r="A39">
        <f>IF(Taul1!B6&gt;56000,0.006,0.0055)</f>
        <v>5.4999999999999997E-3</v>
      </c>
      <c r="G39" t="s">
        <v>117</v>
      </c>
      <c r="H39" s="2">
        <v>624</v>
      </c>
    </row>
    <row r="40" spans="1:14" x14ac:dyDescent="0.25">
      <c r="G40" t="s">
        <v>119</v>
      </c>
      <c r="H40" s="2">
        <v>621</v>
      </c>
    </row>
    <row r="41" spans="1:14" x14ac:dyDescent="0.25">
      <c r="A41" t="s">
        <v>102</v>
      </c>
      <c r="G41" t="s">
        <v>146</v>
      </c>
      <c r="H41">
        <v>540</v>
      </c>
      <c r="K41" t="s">
        <v>132</v>
      </c>
      <c r="L41" t="s">
        <v>131</v>
      </c>
      <c r="M41" t="s">
        <v>120</v>
      </c>
      <c r="N41" t="s">
        <v>17</v>
      </c>
    </row>
    <row r="42" spans="1:14" x14ac:dyDescent="0.25">
      <c r="A42" t="s">
        <v>103</v>
      </c>
      <c r="G42" t="s">
        <v>115</v>
      </c>
      <c r="H42" s="2">
        <v>540</v>
      </c>
      <c r="K42">
        <f>Taul1!B24</f>
        <v>200</v>
      </c>
      <c r="L42" s="2">
        <f>-A49</f>
        <v>-292.98096226146367</v>
      </c>
      <c r="M42">
        <v>0</v>
      </c>
      <c r="N42">
        <v>0</v>
      </c>
    </row>
    <row r="43" spans="1:14" x14ac:dyDescent="0.25">
      <c r="A43" s="2">
        <f>IF(G53&gt;1/2*P14,G53,P14-G53)</f>
        <v>292.98096226146367</v>
      </c>
      <c r="G43" t="s">
        <v>116</v>
      </c>
      <c r="H43" s="2">
        <v>534</v>
      </c>
      <c r="M43" s="10">
        <f>IF(B13=0,0,M42+B13)</f>
        <v>200</v>
      </c>
      <c r="N43" s="99">
        <f>IF(B13=0,0,J13*B13/100)</f>
        <v>292.98096226146367</v>
      </c>
    </row>
    <row r="44" spans="1:14" x14ac:dyDescent="0.25">
      <c r="H44" s="130"/>
      <c r="M44" s="10">
        <f>IF(C13=0,0,M43+C13)</f>
        <v>0</v>
      </c>
      <c r="N44" s="99">
        <f>IF(C13=0,0,J14*C13/100+N43)</f>
        <v>0</v>
      </c>
    </row>
    <row r="45" spans="1:14" x14ac:dyDescent="0.25">
      <c r="A45" t="s">
        <v>105</v>
      </c>
      <c r="G45" t="str" cm="1">
        <f t="array" ref="G45:H51">_xlfn._xlws.FILTER(Taul2!G37:H43,Taul2!H37:H43&gt;Taul2!A57,"Ei vielä mahdollinen")</f>
        <v>Tesla Semi (prot.)</v>
      </c>
      <c r="H45" s="6">
        <v>900</v>
      </c>
      <c r="M45" s="10">
        <f>IF(D13=0,0,M44+D13)</f>
        <v>0</v>
      </c>
      <c r="N45" s="99">
        <f>IF(D13=0,0,J15*D13/100+N44)</f>
        <v>0</v>
      </c>
    </row>
    <row r="46" spans="1:14" x14ac:dyDescent="0.25">
      <c r="A46">
        <f>IF(Taul1!B23=TRUE,Taul1!B25*Taul1!B26,0)</f>
        <v>750</v>
      </c>
      <c r="B46" t="s">
        <v>16</v>
      </c>
      <c r="G46" t="str">
        <v>Nicola Tre Bev</v>
      </c>
      <c r="H46" s="6">
        <v>738</v>
      </c>
      <c r="M46" s="10">
        <f>IF(E13=0,0,M45+E13)</f>
        <v>0</v>
      </c>
      <c r="N46" s="99">
        <f>IF(E13=0,0,J16*E13/100+N45)</f>
        <v>0</v>
      </c>
    </row>
    <row r="47" spans="1:14" x14ac:dyDescent="0.25">
      <c r="G47" t="str">
        <v>Scania Electric Truck</v>
      </c>
      <c r="H47" s="6">
        <v>624</v>
      </c>
      <c r="M47" s="10">
        <f>IF(F13=0,0,M46+F13)</f>
        <v>0</v>
      </c>
      <c r="N47" s="99">
        <f>IF(F13=0,0,J17*F13/100+N46)</f>
        <v>0</v>
      </c>
    </row>
    <row r="48" spans="1:14" x14ac:dyDescent="0.25">
      <c r="A48" t="s">
        <v>101</v>
      </c>
      <c r="G48" t="str">
        <v>Mercedes eActros 600</v>
      </c>
      <c r="H48" s="6">
        <v>621</v>
      </c>
    </row>
    <row r="49" spans="1:8" x14ac:dyDescent="0.25">
      <c r="A49" s="2">
        <f>IF(G53&lt;A46,G53,A46)</f>
        <v>292.98096226146367</v>
      </c>
      <c r="B49" t="s">
        <v>16</v>
      </c>
      <c r="G49" t="str">
        <v>Renault T E-Tech</v>
      </c>
      <c r="H49" s="6">
        <v>540</v>
      </c>
    </row>
    <row r="50" spans="1:8" x14ac:dyDescent="0.25">
      <c r="G50" t="str">
        <v>Volvo FH Electric</v>
      </c>
      <c r="H50" s="6">
        <v>540</v>
      </c>
    </row>
    <row r="51" spans="1:8" x14ac:dyDescent="0.25">
      <c r="A51" t="s">
        <v>104</v>
      </c>
      <c r="G51" t="str">
        <v>MAN eTGX</v>
      </c>
      <c r="H51" s="6">
        <v>534</v>
      </c>
    </row>
    <row r="52" spans="1:8" x14ac:dyDescent="0.25">
      <c r="A52" t="s">
        <v>83</v>
      </c>
      <c r="G52" t="s">
        <v>133</v>
      </c>
    </row>
    <row r="53" spans="1:8" x14ac:dyDescent="0.25">
      <c r="A53" s="2">
        <f>IF(A49&lt;Taul1!K7-Taul2!A43,Taul1!K7-Taul2!A49,Taul2!A43)</f>
        <v>292.98096226146367</v>
      </c>
      <c r="B53" t="s">
        <v>16</v>
      </c>
      <c r="G53" s="2">
        <f>IF(K42&lt;=B13,(K42)*J13/100,IF(K42&lt;=B13+C13,B13*J13/100+(K42-B13)*J14/100,IF(K42&lt;=B13+C13+D13,B13*J13/100+C13*J14/100+(K42-B13-C13)*J15/100,IF(K42&lt;=B13+C13+D13+E13,B13*J13/100+C13*J14/100+D13*J15/100+(K42-B13-C13-D13)*J16/100,IF(K42&lt;=G13,B13*J13/100+C13*J14/100+D13*J15/100+E13*J16/100+(K42-B13-C13-D13-E13)*J17/100)))))</f>
        <v>292.98096226146367</v>
      </c>
    </row>
    <row r="55" spans="1:8" x14ac:dyDescent="0.25">
      <c r="A55" t="s">
        <v>97</v>
      </c>
      <c r="G55" t="s">
        <v>136</v>
      </c>
    </row>
    <row r="56" spans="1:8" x14ac:dyDescent="0.25">
      <c r="A56" t="s">
        <v>98</v>
      </c>
      <c r="G56" s="2">
        <f>P14-G53</f>
        <v>0</v>
      </c>
    </row>
    <row r="57" spans="1:8" x14ac:dyDescent="0.25">
      <c r="A57" s="10">
        <f>(A53/0.85)*1.05</f>
        <v>361.91765926416105</v>
      </c>
      <c r="B57" t="s">
        <v>16</v>
      </c>
      <c r="G57" t="s">
        <v>137</v>
      </c>
    </row>
    <row r="58" spans="1:8" x14ac:dyDescent="0.25">
      <c r="G58" s="2">
        <f>G53-A49+G56</f>
        <v>0</v>
      </c>
    </row>
    <row r="61" spans="1:8" x14ac:dyDescent="0.25">
      <c r="G61">
        <v>0</v>
      </c>
      <c r="H61">
        <v>0</v>
      </c>
    </row>
    <row r="62" spans="1:8" x14ac:dyDescent="0.25">
      <c r="G62" s="10">
        <f>$B$13</f>
        <v>200</v>
      </c>
      <c r="H62" s="2">
        <f>IF($G$62&lt;$G$69,$B$13*$J$13/100,$B$13*$J$13/100-A49)</f>
        <v>0</v>
      </c>
    </row>
    <row r="63" spans="1:8" x14ac:dyDescent="0.25">
      <c r="G63" s="10">
        <f>$B$13+$C$13</f>
        <v>200</v>
      </c>
      <c r="H63" s="2">
        <f>IF($G$63&lt;$G$69,$B$13*$J$13/100+$C$13*$J$14/100,$B$13*$J$13/100+$C$13*$J$14/100-$A$49)</f>
        <v>0</v>
      </c>
    </row>
    <row r="64" spans="1:8" x14ac:dyDescent="0.25">
      <c r="G64" s="10">
        <f>$B$13+$C$13+$D$13</f>
        <v>200</v>
      </c>
      <c r="H64" s="2">
        <f>IF($G$64&lt;$G$69,$B$13*$J$13/100+$C$13*$J$14/100+$D$13*$J$15/100,$B$13*$J$13/100+$C$13*$J$14/100+$D$13*$J$15/100-$A$49)</f>
        <v>0</v>
      </c>
    </row>
    <row r="65" spans="5:8" x14ac:dyDescent="0.25">
      <c r="G65" s="10">
        <f>$B$13+$C$13+$D$13+$E$13</f>
        <v>200</v>
      </c>
      <c r="H65" s="2">
        <f>IF($G$65&lt;$G$69,($B$13*$J$13+$C$13*$J$14+$D$13*$J$15+$E$13*$J$16)/100,($B$13*$J$13+$C$13*$J$14+$D$13*$J$15+$E$13*$J$16)/100-$A$49)</f>
        <v>0</v>
      </c>
    </row>
    <row r="66" spans="5:8" x14ac:dyDescent="0.25">
      <c r="G66" s="10">
        <f>$B$13+$C$13+$D$13+$E$13+$F$13</f>
        <v>200</v>
      </c>
      <c r="H66" s="2">
        <f>IF($G$66&lt;$G$69,$P$14,$P$14-$A$49)</f>
        <v>0</v>
      </c>
    </row>
    <row r="67" spans="5:8" x14ac:dyDescent="0.25">
      <c r="G67" s="10">
        <f>$G$13</f>
        <v>200</v>
      </c>
      <c r="H67" s="2">
        <v>0</v>
      </c>
    </row>
    <row r="69" spans="5:8" x14ac:dyDescent="0.25">
      <c r="E69" t="s">
        <v>135</v>
      </c>
      <c r="G69" s="10">
        <f>$K$42-0.0001</f>
        <v>199.9999</v>
      </c>
      <c r="H69" s="2">
        <f>$G$53</f>
        <v>292.98096226146367</v>
      </c>
    </row>
    <row r="70" spans="5:8" x14ac:dyDescent="0.25">
      <c r="E70" t="s">
        <v>134</v>
      </c>
      <c r="G70" s="10">
        <f>$K$42+0.0001</f>
        <v>200.0001</v>
      </c>
      <c r="H70" s="2">
        <f>$G$53-$A$49</f>
        <v>0</v>
      </c>
    </row>
    <row r="74" spans="5:8" x14ac:dyDescent="0.25">
      <c r="G74" cm="1">
        <f t="array" ref="G74:H83">_xlfn._xlws.SORT(G61:H70,1,TRUE)</f>
        <v>0</v>
      </c>
      <c r="H74">
        <v>0</v>
      </c>
    </row>
    <row r="75" spans="5:8" x14ac:dyDescent="0.25">
      <c r="G75" s="10">
        <v>199.9999</v>
      </c>
      <c r="H75">
        <v>292.98096226146367</v>
      </c>
    </row>
    <row r="76" spans="5:8" x14ac:dyDescent="0.25">
      <c r="G76" s="10">
        <v>200</v>
      </c>
      <c r="H76">
        <v>0</v>
      </c>
    </row>
    <row r="77" spans="5:8" x14ac:dyDescent="0.25">
      <c r="G77" s="10">
        <v>200</v>
      </c>
      <c r="H77">
        <v>0</v>
      </c>
    </row>
    <row r="78" spans="5:8" x14ac:dyDescent="0.25">
      <c r="G78" s="10">
        <v>200</v>
      </c>
      <c r="H78">
        <v>0</v>
      </c>
    </row>
    <row r="79" spans="5:8" x14ac:dyDescent="0.25">
      <c r="G79" s="10">
        <v>200</v>
      </c>
      <c r="H79">
        <v>0</v>
      </c>
    </row>
    <row r="80" spans="5:8" x14ac:dyDescent="0.25">
      <c r="G80" s="10">
        <v>200</v>
      </c>
      <c r="H80">
        <v>0</v>
      </c>
    </row>
    <row r="81" spans="7:8" x14ac:dyDescent="0.25">
      <c r="G81" s="10">
        <v>200</v>
      </c>
      <c r="H81">
        <v>0</v>
      </c>
    </row>
    <row r="82" spans="7:8" x14ac:dyDescent="0.25">
      <c r="G82" s="10">
        <v>200.0001</v>
      </c>
      <c r="H82">
        <v>0</v>
      </c>
    </row>
    <row r="83" spans="7:8" x14ac:dyDescent="0.25">
      <c r="G83">
        <v>0</v>
      </c>
      <c r="H83">
        <v>0</v>
      </c>
    </row>
  </sheetData>
  <sheetProtection selectLockedCells="1"/>
  <sortState xmlns:xlrd2="http://schemas.microsoft.com/office/spreadsheetml/2017/richdata2" ref="G62:H70">
    <sortCondition ref="G62:G70"/>
  </sortState>
  <phoneticPr fontId="3" type="noConversion"/>
  <dataValidations disablePrompts="1" xWindow="205" yWindow="370" count="4">
    <dataValidation type="decimal" allowBlank="1" showInputMessage="1" showErrorMessage="1" errorTitle="Virheellinen arvo." error="Hyötysuhde ei voi olla negatiivinen tai yli yhden. Syötä arvo välillä 0-1. " promptTitle="Hyötysuhde tarkemmin." prompt="Mikäli annat tähän soluun arvon, sitä käytetään laskennassa oletusarvon sijaan. " sqref="C29" xr:uid="{CE09AC2E-D55A-4A31-B8FE-46AB69B480D8}">
      <formula1>0</formula1>
      <formula2>1</formula2>
    </dataValidation>
    <dataValidation allowBlank="1" showInputMessage="1" showErrorMessage="1" promptTitle="Regeneroinnin hyötysuhde" prompt="Käytetty hyötysuhde, kun negatiivisesta nousuvastuksesta aiheutuvat kiihdyttävät voimat regeneroidaan takaisin sähköenergiaksi." sqref="A29" xr:uid="{2AEE29BD-A361-4652-8445-60FE78410234}"/>
    <dataValidation type="whole" operator="greaterThan" allowBlank="1" showInputMessage="1" showErrorMessage="1" errorTitle="Virheellinen arvo." error="Prosenttiosuus ei voi olla negatiivinen." sqref="B30" xr:uid="{6F6082C6-F550-4FB5-A299-1038D54BD877}">
      <formula1>0</formula1>
    </dataValidation>
    <dataValidation allowBlank="1" showInputMessage="1" showErrorMessage="1" promptTitle="Urean käyttö suhteessa dieseliin" prompt="Syötä arvo prosentteina. Esim. puoli desiä ureaa yhtä litraa dieseliä kohden = 5" sqref="A30" xr:uid="{2EC51373-745E-434A-AABF-4D3E07D4F237}"/>
  </dataValidations>
  <pageMargins left="0.7" right="0.7" top="0.75" bottom="0.75" header="0.3" footer="0.3"/>
  <pageSetup paperSize="9" orientation="portrait" horizontalDpi="1200" verticalDpi="1200" r:id="rId1"/>
  <ignoredErrors>
    <ignoredError sqref="E21 C21 N27 N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CCD1-9A1C-41E0-8751-B7DAA282065A}">
  <dimension ref="A1:T82"/>
  <sheetViews>
    <sheetView workbookViewId="0">
      <selection activeCell="D34" sqref="D34"/>
    </sheetView>
  </sheetViews>
  <sheetFormatPr defaultRowHeight="15" x14ac:dyDescent="0.25"/>
  <cols>
    <col min="1" max="1" width="33" bestFit="1" customWidth="1"/>
    <col min="2" max="2" width="10" customWidth="1"/>
    <col min="3" max="3" width="9.7109375" customWidth="1"/>
    <col min="4" max="4" width="10.140625" customWidth="1"/>
    <col min="5" max="5" width="9.42578125" customWidth="1"/>
    <col min="6" max="6" width="9.85546875" customWidth="1"/>
    <col min="7" max="7" width="20.7109375" customWidth="1"/>
    <col min="8" max="8" width="16.7109375" bestFit="1" customWidth="1"/>
    <col min="9" max="9" width="19" bestFit="1" customWidth="1"/>
    <col min="10" max="10" width="13.28515625" customWidth="1"/>
    <col min="11" max="11" width="12.140625" bestFit="1" customWidth="1"/>
    <col min="12" max="12" width="11" bestFit="1" customWidth="1"/>
    <col min="13" max="13" width="13.28515625" bestFit="1" customWidth="1"/>
    <col min="14" max="14" width="12.5703125" bestFit="1" customWidth="1"/>
    <col min="15" max="15" width="9.7109375" customWidth="1"/>
    <col min="16" max="16" width="12" bestFit="1" customWidth="1"/>
    <col min="17" max="17" width="4.85546875" bestFit="1" customWidth="1"/>
  </cols>
  <sheetData>
    <row r="1" spans="1:17" x14ac:dyDescent="0.25">
      <c r="A1" t="s">
        <v>7</v>
      </c>
      <c r="B1" t="s">
        <v>147</v>
      </c>
    </row>
    <row r="2" spans="1:17" x14ac:dyDescent="0.25">
      <c r="B2" t="s">
        <v>153</v>
      </c>
    </row>
    <row r="3" spans="1:17" x14ac:dyDescent="0.25">
      <c r="A3" t="s">
        <v>8</v>
      </c>
      <c r="I3" t="s">
        <v>84</v>
      </c>
    </row>
    <row r="4" spans="1:17" x14ac:dyDescent="0.25">
      <c r="B4" s="1">
        <v>1</v>
      </c>
      <c r="C4" s="1">
        <v>2</v>
      </c>
      <c r="D4" s="1">
        <v>3</v>
      </c>
      <c r="E4" s="1">
        <v>4</v>
      </c>
      <c r="F4" s="1">
        <v>5</v>
      </c>
      <c r="G4" t="s">
        <v>85</v>
      </c>
      <c r="I4" t="s">
        <v>23</v>
      </c>
      <c r="J4" s="2">
        <f>MAX(J7:J11)</f>
        <v>136.43155752039743</v>
      </c>
      <c r="K4" t="s">
        <v>10</v>
      </c>
      <c r="L4" t="s">
        <v>13</v>
      </c>
    </row>
    <row r="5" spans="1:17" x14ac:dyDescent="0.25">
      <c r="A5" t="s">
        <v>72</v>
      </c>
      <c r="B5" s="3">
        <f>(1/2)*Taul3!H32*IF(Taul1!C7=0,Taul1!B7,Taul1!C7)*IF(Taul1!C8=0,IF(Taul1!B6&gt;56000,0.8,0.73),Taul1!C8)*((Taul1!B17)/3.6)^2</f>
        <v>1958.3772604148362</v>
      </c>
      <c r="C5" s="3">
        <f>(1/2)*Taul3!H32*IF(Taul1!C7=0,Taul1!B7,Taul1!C7)*IF(Taul1!C8=0,IF(Taul1!C6&gt;56000,0.8,0.73),Taul1!C8)*((Taul1!C17)/3.6)^2</f>
        <v>0</v>
      </c>
      <c r="D5" s="3">
        <f>(1/2)*Taul3!H32*IF(Taul1!C7=0,Taul1!B7,Taul1!C7)*IF(Taul1!C8=0,IF(Taul1!D6&gt;56000,0.8,0.73),Taul1!C8)*((Taul1!D17)/3.6)^2</f>
        <v>0</v>
      </c>
      <c r="E5" s="3">
        <f>(1/2)*Taul3!H32*IF(Taul1!C7=0,Taul1!B7,Taul1!C7)*IF(Taul1!C8=0,IF(Taul1!E6&gt;56000,0.8,0.73),Taul1!C8)*((Taul1!E17)/3.6)^2</f>
        <v>0</v>
      </c>
      <c r="F5" s="3">
        <f>(1/2)*Taul3!H32*IF(Taul1!C7=0,Taul1!B7,Taul1!C7)*IF(Taul1!C8=0,IF(Taul1!F6&gt;56000,0.8,0.73),Taul1!C8)*((Taul1!F17)/3.6)^2</f>
        <v>0</v>
      </c>
      <c r="G5" s="2">
        <f>MAX(B5:F5)</f>
        <v>1958.3772604148362</v>
      </c>
      <c r="P5" t="s">
        <v>130</v>
      </c>
    </row>
    <row r="6" spans="1:17" x14ac:dyDescent="0.25">
      <c r="A6" t="s">
        <v>73</v>
      </c>
      <c r="B6" s="3">
        <f>IF(Taul1!B17=0,0,IF(Taul1!C9=0,IF(Taul1!B6&gt;56000,0.006,0.0055),Taul1!C9)*Taul1!B6*9.80665*COS(RADIANS(B11))*A33)</f>
        <v>3473.2038060442796</v>
      </c>
      <c r="C6" s="3">
        <f>IF(Taul1!C17=0,0,IF(Taul1!C9=0,IF(Taul1!C6&gt;56000,0.006,0.0055),Taul1!C9)*Taul1!C6*9.80665*COS(RADIANS(C11))*A33)</f>
        <v>0</v>
      </c>
      <c r="D6" s="3">
        <f>IF(Taul1!D17=0,0,IF(Taul1!C9=0,IF(Taul1!D6&gt;56000,0.006,0.0055),Taul1!C9)*Taul1!D6*9.80665*COS(RADIANS(D11))*A33)</f>
        <v>0</v>
      </c>
      <c r="E6" s="3">
        <f>IF(Taul1!E17=0,0,IF(Taul1!C9=0,IF(Taul1!E6&gt;56000,0.006,0.0055),Taul1!C9)*Taul1!E6*9.80665*COS(RADIANS(E11))*A33)</f>
        <v>0</v>
      </c>
      <c r="F6" s="3">
        <f>IF(Taul1!F17=0,0,IF(Taul1!C9=0,IF(Taul1!F6&gt;56000,0.006,0.0055),Taul1!C9)*Taul1!F6*9.80665*COS(RADIANS(F11))*A33)</f>
        <v>0</v>
      </c>
      <c r="G6" s="2">
        <f>MAX(B6:F6)</f>
        <v>3473.2038060442796</v>
      </c>
    </row>
    <row r="7" spans="1:17" x14ac:dyDescent="0.25">
      <c r="A7" t="s">
        <v>74</v>
      </c>
      <c r="B7" s="3">
        <f>IF(Taul1!B17=0,0,Taul1!B6*9.80665*SIN(RADIANS(B11)))</f>
        <v>0</v>
      </c>
      <c r="C7" s="3">
        <f>IF(Taul1!C17=0,0,Taul1!C6*9.80665*SIN(RADIANS(C11)))</f>
        <v>0</v>
      </c>
      <c r="D7" s="3">
        <f>IF(Taul1!D17=0,0,Taul1!D6*9.80665*SIN(RADIANS(D11)))</f>
        <v>0</v>
      </c>
      <c r="E7" s="3">
        <f>IF(Taul1!E17=0,0,Taul1!E6*9.80665*SIN(RADIANS(E11)))</f>
        <v>0</v>
      </c>
      <c r="F7" s="3">
        <f>IF(Taul1!F17=0,0,Taul1!F6*9.80665*SIN(RADIANS(F11)))</f>
        <v>0</v>
      </c>
      <c r="G7" s="2">
        <f>MAX(B7:F7)</f>
        <v>0</v>
      </c>
      <c r="I7">
        <v>1</v>
      </c>
      <c r="J7" s="8">
        <f>IF(Taul3!B21&gt;0,Taul3!B23,(IF(Taul3!C29=0,Taul3!B29,Taul3!C29))*B21)</f>
        <v>136.43155752039743</v>
      </c>
      <c r="L7">
        <v>1</v>
      </c>
      <c r="M7">
        <f>IF(OR(Taul1!B16=0,Taul1!B17=0,Taul1!B6=0),0,Taul1!B16/Taul1!B17)</f>
        <v>2.3529411764705883</v>
      </c>
      <c r="N7" t="s">
        <v>14</v>
      </c>
      <c r="O7" t="s">
        <v>77</v>
      </c>
      <c r="P7">
        <f>J7*M7</f>
        <v>321.01542945975865</v>
      </c>
      <c r="Q7" t="s">
        <v>16</v>
      </c>
    </row>
    <row r="8" spans="1:17" x14ac:dyDescent="0.25">
      <c r="B8" s="3"/>
      <c r="C8" s="3"/>
      <c r="D8" s="2"/>
      <c r="E8" s="2"/>
      <c r="F8" s="2"/>
      <c r="G8" s="2"/>
      <c r="I8">
        <v>2</v>
      </c>
      <c r="J8" s="8">
        <f>IF(Taul3!C21&gt;0,Taul3!C23,(IF(Taul3!C29=0,Taul3!B29,Taul3!C29))*C21)</f>
        <v>0</v>
      </c>
      <c r="L8">
        <v>2</v>
      </c>
      <c r="M8">
        <f>IF(OR(Taul1!C16=0,Taul1!C17=0,Taul1!C6=0),0,Taul1!C16/Taul1!C17)</f>
        <v>0</v>
      </c>
      <c r="N8" t="s">
        <v>14</v>
      </c>
      <c r="O8" t="s">
        <v>78</v>
      </c>
      <c r="P8">
        <f>J8*M8</f>
        <v>0</v>
      </c>
      <c r="Q8" t="s">
        <v>16</v>
      </c>
    </row>
    <row r="9" spans="1:17" x14ac:dyDescent="0.25">
      <c r="A9" t="s">
        <v>75</v>
      </c>
      <c r="B9" s="3">
        <f>B5+B6+B7</f>
        <v>5431.5810664591154</v>
      </c>
      <c r="C9" s="3">
        <f t="shared" ref="C9:F9" si="0">C5+C6+C7</f>
        <v>0</v>
      </c>
      <c r="D9" s="3">
        <f t="shared" si="0"/>
        <v>0</v>
      </c>
      <c r="E9" s="3">
        <f t="shared" si="0"/>
        <v>0</v>
      </c>
      <c r="F9" s="3">
        <f t="shared" si="0"/>
        <v>0</v>
      </c>
      <c r="G9" s="2">
        <f>MAX(B9:F9)</f>
        <v>5431.5810664591154</v>
      </c>
      <c r="I9">
        <v>3</v>
      </c>
      <c r="J9" s="8">
        <f>IF(Taul3!D21&gt;0,Taul3!D23,(IF(Taul3!C29=0,Taul3!B29,Taul3!C29))*D21)</f>
        <v>0</v>
      </c>
      <c r="L9">
        <v>3</v>
      </c>
      <c r="M9">
        <f>IF(OR(Taul1!D16=0,Taul1!D17=0,Taul1!D6=0),0,Taul1!D16/Taul1!D17)</f>
        <v>0</v>
      </c>
      <c r="N9" t="s">
        <v>14</v>
      </c>
      <c r="O9" t="s">
        <v>79</v>
      </c>
      <c r="P9">
        <f>J9*M9</f>
        <v>0</v>
      </c>
      <c r="Q9" t="s">
        <v>16</v>
      </c>
    </row>
    <row r="10" spans="1:17" x14ac:dyDescent="0.25">
      <c r="D10" s="1"/>
      <c r="E10" s="1"/>
      <c r="G10" t="s">
        <v>86</v>
      </c>
      <c r="I10">
        <v>4</v>
      </c>
      <c r="J10" s="8">
        <f>IF(Taul3!E21&gt;0,Taul3!E23,(IF(Taul3!C29=0,Taul3!B29,Taul3!C29))*E21)</f>
        <v>0</v>
      </c>
      <c r="L10">
        <v>4</v>
      </c>
      <c r="M10">
        <f>IF(OR(Taul1!E16=0,Taul1!E17=0,Taul1!E6=0),0,Taul1!E16/Taul1!E17)</f>
        <v>0</v>
      </c>
      <c r="N10" t="s">
        <v>14</v>
      </c>
      <c r="O10" t="s">
        <v>80</v>
      </c>
      <c r="P10">
        <f>J10*M10</f>
        <v>0</v>
      </c>
      <c r="Q10" t="s">
        <v>16</v>
      </c>
    </row>
    <row r="11" spans="1:17" x14ac:dyDescent="0.25">
      <c r="A11" t="s">
        <v>5</v>
      </c>
      <c r="B11" s="8">
        <f>IF(Taul1!B18=0,0,ATAN(Taul1!B18/Taul1!B16/1000)*180/PI())</f>
        <v>0</v>
      </c>
      <c r="C11" s="8">
        <f>IF(Taul1!C18=0,0,ATAN(Taul1!C18/Taul1!C16/1000)*180/PI())</f>
        <v>0</v>
      </c>
      <c r="D11" s="5">
        <f>IF(Taul1!D18=0,0,ATAN(Taul1!D18/Taul1!D16/1000)*180/PI())</f>
        <v>0</v>
      </c>
      <c r="E11" s="5">
        <f>IF(Taul1!E18=0,0,ATAN(Taul1!E18/Taul1!E16/1000)*180/PI())</f>
        <v>0</v>
      </c>
      <c r="F11" s="5">
        <f>IF(Taul1!F18=0,0,ATAN(Taul1!F18/Taul1!F16/1000)*180/PI())</f>
        <v>0</v>
      </c>
      <c r="G11" s="2">
        <f>MIN(B9:F9)</f>
        <v>0</v>
      </c>
      <c r="I11">
        <v>5</v>
      </c>
      <c r="J11" s="8">
        <f>IF(Taul3!F21&gt;0,Taul3!F23,(IF(Taul3!C29=0,Taul3!B29,Taul3!C29))*F21)</f>
        <v>0</v>
      </c>
      <c r="L11">
        <v>5</v>
      </c>
      <c r="M11">
        <f>IF(OR(Taul1!F16=0,Taul1!F17=0,Taul1!F6=0),0,Taul1!F16/Taul1!F17)</f>
        <v>0</v>
      </c>
      <c r="N11" t="s">
        <v>14</v>
      </c>
      <c r="O11" t="s">
        <v>81</v>
      </c>
      <c r="P11">
        <f>J11*M11</f>
        <v>0</v>
      </c>
      <c r="Q11" t="s">
        <v>16</v>
      </c>
    </row>
    <row r="12" spans="1:17" x14ac:dyDescent="0.25">
      <c r="D12" s="1"/>
      <c r="E12" s="1"/>
    </row>
    <row r="13" spans="1:17" x14ac:dyDescent="0.25">
      <c r="A13" t="s">
        <v>88</v>
      </c>
      <c r="B13" s="10">
        <f>IF(OR(Taul1!B6=0,Taul1!B17=0),0,Taul1!B16)</f>
        <v>200</v>
      </c>
      <c r="C13" s="10">
        <f>IF(OR(Taul1!C17=0,Taul1!C6=0),0,Taul1!C16)</f>
        <v>0</v>
      </c>
      <c r="D13" s="10">
        <f>IF(OR(Taul1!D6=0,Taul1!D17=0),0,Taul1!D16)</f>
        <v>0</v>
      </c>
      <c r="E13" s="10">
        <f>IF(OR(Taul1!E6=0,Taul1!E17=0),0,Taul1!E16)</f>
        <v>0</v>
      </c>
      <c r="F13" s="10">
        <f>IF(OR(Taul1!F6=0,Taul1!F17=0),0,Taul1!F16)</f>
        <v>0</v>
      </c>
      <c r="G13" s="10">
        <f>B13+C13+D13+E13+F13</f>
        <v>200</v>
      </c>
      <c r="I13" t="s">
        <v>125</v>
      </c>
      <c r="J13">
        <f>IF(B13=0,0,(P7+(D26+D27)*M7)/B13*100)</f>
        <v>164.68002061223225</v>
      </c>
      <c r="L13" t="s">
        <v>76</v>
      </c>
      <c r="M13">
        <f>M7+M8+M9+M10+M11</f>
        <v>2.3529411764705883</v>
      </c>
      <c r="N13" t="s">
        <v>14</v>
      </c>
      <c r="O13" s="6" t="s">
        <v>22</v>
      </c>
      <c r="P13">
        <f>P7+P8+P9+P10+P11</f>
        <v>321.01542945975865</v>
      </c>
      <c r="Q13" t="s">
        <v>16</v>
      </c>
    </row>
    <row r="14" spans="1:17" x14ac:dyDescent="0.25">
      <c r="D14" s="1"/>
      <c r="E14" s="1"/>
      <c r="I14" t="s">
        <v>126</v>
      </c>
      <c r="J14">
        <f>IF(C13=0,0,(P8+(D26+D27)*M8)/C13*100)</f>
        <v>0</v>
      </c>
      <c r="O14" t="s">
        <v>17</v>
      </c>
      <c r="P14" s="7">
        <f>P13+D28</f>
        <v>329.36004122446451</v>
      </c>
      <c r="Q14" t="s">
        <v>16</v>
      </c>
    </row>
    <row r="15" spans="1:17" x14ac:dyDescent="0.25">
      <c r="A15" t="s">
        <v>9</v>
      </c>
      <c r="B15" s="1"/>
      <c r="C15" s="1"/>
      <c r="I15" t="s">
        <v>127</v>
      </c>
      <c r="J15">
        <f>IF(D13=0,0,(P9+(D26+D27)*M9)/D13*100)</f>
        <v>0</v>
      </c>
    </row>
    <row r="16" spans="1:17" x14ac:dyDescent="0.25">
      <c r="B16" s="1">
        <v>1</v>
      </c>
      <c r="C16" s="1">
        <v>2</v>
      </c>
      <c r="D16" s="1">
        <v>3</v>
      </c>
      <c r="E16" s="1">
        <v>4</v>
      </c>
      <c r="F16" s="1">
        <v>5</v>
      </c>
      <c r="G16" t="s">
        <v>85</v>
      </c>
      <c r="I16" t="s">
        <v>128</v>
      </c>
      <c r="J16">
        <f>IF(E13=0,0,(P10+(D26+D27)*M10)/E13*100)</f>
        <v>0</v>
      </c>
    </row>
    <row r="17" spans="1:20" x14ac:dyDescent="0.25">
      <c r="A17" t="s">
        <v>68</v>
      </c>
      <c r="B17" s="3">
        <f>B5*Taul1!B17/3.6/1000</f>
        <v>46.23946309312808</v>
      </c>
      <c r="C17" s="3">
        <f>C5*Taul1!C17/3.6/1000</f>
        <v>0</v>
      </c>
      <c r="D17" s="3">
        <f>D5*Taul1!$D$17/3.6/1000</f>
        <v>0</v>
      </c>
      <c r="E17" s="3">
        <f>E5*Taul1!$E$17/3.6/1000</f>
        <v>0</v>
      </c>
      <c r="F17" s="3">
        <f>F5*Taul1!$F$17/3.6/1000</f>
        <v>0</v>
      </c>
      <c r="G17" s="2">
        <f>MAX(B17:F17)</f>
        <v>46.23946309312808</v>
      </c>
      <c r="I17" t="s">
        <v>129</v>
      </c>
      <c r="J17">
        <f>IF(F13=0,0,(P11+(D26+D27)*M11)/F13*100)</f>
        <v>0</v>
      </c>
      <c r="T17" s="1"/>
    </row>
    <row r="18" spans="1:20" x14ac:dyDescent="0.25">
      <c r="A18" t="s">
        <v>67</v>
      </c>
      <c r="B18" s="3">
        <f>B6*Taul1!B17/3.6/1000</f>
        <v>82.006200976045491</v>
      </c>
      <c r="C18" s="3">
        <f>C6*Taul1!C17/3.6/1000</f>
        <v>0</v>
      </c>
      <c r="D18" s="3">
        <f>D6*Taul1!$D$17/3.6/1000</f>
        <v>0</v>
      </c>
      <c r="E18" s="3">
        <f>E6*Taul1!$E$17/3.6/1000</f>
        <v>0</v>
      </c>
      <c r="F18" s="3">
        <f>F6*Taul1!$F$17/3.6/1000</f>
        <v>0</v>
      </c>
      <c r="G18" s="2">
        <f t="shared" ref="G18:G19" si="1">MAX(B18:F18)</f>
        <v>82.006200976045491</v>
      </c>
      <c r="O18" t="s">
        <v>64</v>
      </c>
    </row>
    <row r="19" spans="1:20" x14ac:dyDescent="0.25">
      <c r="A19" t="s">
        <v>69</v>
      </c>
      <c r="B19" s="3">
        <f>B7*Taul1!B17/3.6/1000</f>
        <v>0</v>
      </c>
      <c r="C19" s="3">
        <f>C7*Taul1!C17/3.6/1000</f>
        <v>0</v>
      </c>
      <c r="D19" s="3">
        <f>D7*Taul1!$D$17/3.6/1000</f>
        <v>0</v>
      </c>
      <c r="E19" s="3">
        <f>E7*Taul1!$E$17/3.6/1000</f>
        <v>0</v>
      </c>
      <c r="F19" s="3">
        <f>F7*Taul1!$F$17/3.6/1000</f>
        <v>0</v>
      </c>
      <c r="G19" s="2">
        <f t="shared" si="1"/>
        <v>0</v>
      </c>
      <c r="I19" t="s">
        <v>124</v>
      </c>
      <c r="J19" s="11">
        <f>IF(G13=0,0,(P14)/((G13)/100))</f>
        <v>164.68002061223225</v>
      </c>
      <c r="K19" t="s">
        <v>21</v>
      </c>
      <c r="M19" t="s">
        <v>63</v>
      </c>
      <c r="N19">
        <v>10</v>
      </c>
      <c r="O19">
        <v>0.35</v>
      </c>
    </row>
    <row r="20" spans="1:20" x14ac:dyDescent="0.25">
      <c r="B20" s="2"/>
      <c r="C20" s="3"/>
      <c r="D20" s="2"/>
      <c r="E20" s="2"/>
      <c r="F20" s="2"/>
      <c r="G20" s="2"/>
      <c r="I20" t="s">
        <v>62</v>
      </c>
      <c r="J20" s="11">
        <f>J19/N19/O19</f>
        <v>47.051434460637786</v>
      </c>
      <c r="K20" t="s">
        <v>40</v>
      </c>
    </row>
    <row r="21" spans="1:20" x14ac:dyDescent="0.25">
      <c r="A21" t="s">
        <v>70</v>
      </c>
      <c r="B21" s="3">
        <f>(B17+B18+B19)</f>
        <v>128.24566406917359</v>
      </c>
      <c r="C21" s="3">
        <f>C17+C18+C19</f>
        <v>0</v>
      </c>
      <c r="D21" s="3">
        <f>D17+D18+D19</f>
        <v>0</v>
      </c>
      <c r="E21" s="3">
        <f>E17+E18+E19</f>
        <v>0</v>
      </c>
      <c r="F21" s="3">
        <f>(F17+F18+F19)</f>
        <v>0</v>
      </c>
      <c r="G21" s="2">
        <f>MAX(B21:F21)</f>
        <v>128.24566406917359</v>
      </c>
    </row>
    <row r="22" spans="1:20" x14ac:dyDescent="0.25">
      <c r="B22" s="3"/>
      <c r="C22" s="3"/>
      <c r="D22" s="3"/>
      <c r="E22" s="3"/>
      <c r="F22" s="3"/>
      <c r="G22" s="2"/>
    </row>
    <row r="23" spans="1:20" x14ac:dyDescent="0.25">
      <c r="A23" t="s">
        <v>71</v>
      </c>
      <c r="B23" s="3">
        <f>Taul3!B21/(IF(Taul1!C10=0,Taul1!B10,Taul1!C10))</f>
        <v>136.43155752039743</v>
      </c>
      <c r="C23" s="3">
        <f>Taul3!C21/Taul1!$B$10</f>
        <v>0</v>
      </c>
      <c r="D23" s="3">
        <f>Taul3!D21/Taul1!$B$10</f>
        <v>0</v>
      </c>
      <c r="E23" s="3">
        <f>Taul3!E21/Taul1!$B$10</f>
        <v>0</v>
      </c>
      <c r="F23" s="3">
        <f>Taul3!F21/Taul1!$B$10</f>
        <v>0</v>
      </c>
      <c r="G23" s="2">
        <f>MAX(B23:F23)</f>
        <v>136.43155752039743</v>
      </c>
      <c r="I23" t="s">
        <v>33</v>
      </c>
      <c r="M23" t="s">
        <v>50</v>
      </c>
    </row>
    <row r="25" spans="1:20" x14ac:dyDescent="0.25">
      <c r="J25" s="12">
        <f>IF(G13=0,"∞",(Taul1!B29-Taul1!B30)/((Taul3!J27-Taul3!J28)*Taul1!B36))</f>
        <v>3.2080508906203717</v>
      </c>
      <c r="K25" t="s">
        <v>34</v>
      </c>
      <c r="M25" t="s">
        <v>45</v>
      </c>
      <c r="N25" s="3">
        <f>J20*Taul1!B39/100</f>
        <v>1256.2733000990288</v>
      </c>
      <c r="O25" t="s">
        <v>51</v>
      </c>
    </row>
    <row r="26" spans="1:20" x14ac:dyDescent="0.25">
      <c r="C26" t="s">
        <v>106</v>
      </c>
      <c r="D26" s="3">
        <v>3.5464600000000002</v>
      </c>
      <c r="E26" t="s">
        <v>10</v>
      </c>
      <c r="N26" s="3">
        <f>N25*Taul1!B36/1000/1000</f>
        <v>251.25466001980578</v>
      </c>
      <c r="O26" t="s">
        <v>82</v>
      </c>
    </row>
    <row r="27" spans="1:20" x14ac:dyDescent="0.25">
      <c r="C27" t="s">
        <v>107</v>
      </c>
      <c r="D27" s="1">
        <f>Taul1!B20</f>
        <v>0</v>
      </c>
      <c r="E27" t="s">
        <v>10</v>
      </c>
      <c r="I27" t="s">
        <v>36</v>
      </c>
      <c r="J27" s="8">
        <f>(Taul3!J20*Taul1!B33+Taul3!B30/100*J20*Taul1!B34)/100</f>
        <v>0.83516296167632065</v>
      </c>
      <c r="K27" t="s">
        <v>24</v>
      </c>
      <c r="M27" t="s">
        <v>52</v>
      </c>
      <c r="N27" s="3">
        <f>J19*Taul1!B40/100</f>
        <v>65.872008244892911</v>
      </c>
      <c r="O27" t="s">
        <v>51</v>
      </c>
    </row>
    <row r="28" spans="1:20" x14ac:dyDescent="0.25">
      <c r="A28" s="145"/>
      <c r="B28" s="145"/>
      <c r="C28" s="145" t="s">
        <v>76</v>
      </c>
      <c r="D28" s="3">
        <f>(D26+D27)*M13</f>
        <v>8.3446117647058831</v>
      </c>
      <c r="E28" t="s">
        <v>16</v>
      </c>
      <c r="I28" t="s">
        <v>37</v>
      </c>
      <c r="J28" s="8">
        <f>J19*Taul1!B35/100/100</f>
        <v>0.46110405771425028</v>
      </c>
      <c r="K28" t="s">
        <v>24</v>
      </c>
      <c r="N28" s="3">
        <f>N27*Taul1!B36/1000/1000</f>
        <v>13.174401648978581</v>
      </c>
      <c r="O28" t="s">
        <v>82</v>
      </c>
    </row>
    <row r="29" spans="1:20" x14ac:dyDescent="0.25">
      <c r="A29" s="144" t="s">
        <v>18</v>
      </c>
      <c r="B29" s="146">
        <v>0.95</v>
      </c>
      <c r="C29" s="147">
        <v>0</v>
      </c>
      <c r="I29" t="s">
        <v>148</v>
      </c>
      <c r="J29" s="2">
        <f>J27*Taul1!B36</f>
        <v>167032.59233526414</v>
      </c>
      <c r="K29" t="s">
        <v>24</v>
      </c>
      <c r="M29" t="s">
        <v>53</v>
      </c>
      <c r="N29" s="3">
        <f>J19*Taul1!B41/100</f>
        <v>294.77723689589573</v>
      </c>
      <c r="O29" t="s">
        <v>51</v>
      </c>
    </row>
    <row r="30" spans="1:20" x14ac:dyDescent="0.25">
      <c r="A30" s="143" t="s">
        <v>58</v>
      </c>
      <c r="B30" s="142">
        <v>5</v>
      </c>
      <c r="C30" s="141" t="s">
        <v>59</v>
      </c>
      <c r="I30" t="s">
        <v>149</v>
      </c>
      <c r="J30" s="2">
        <f>J28*Taul1!B36</f>
        <v>92220.811542850061</v>
      </c>
      <c r="K30" t="s">
        <v>24</v>
      </c>
      <c r="N30" s="3">
        <f>N29*Taul1!B36/1000/1000</f>
        <v>58.955447379179141</v>
      </c>
      <c r="O30" t="s">
        <v>82</v>
      </c>
    </row>
    <row r="31" spans="1:20" x14ac:dyDescent="0.25">
      <c r="G31" t="s">
        <v>3</v>
      </c>
      <c r="H31" s="9">
        <v>101.3</v>
      </c>
    </row>
    <row r="32" spans="1:20" x14ac:dyDescent="0.25">
      <c r="A32" t="s">
        <v>66</v>
      </c>
      <c r="G32" t="s">
        <v>6</v>
      </c>
      <c r="H32" s="4">
        <f>H31/(0.2869*(273.15+2))</f>
        <v>1.2832444066916953</v>
      </c>
      <c r="M32" t="s">
        <v>57</v>
      </c>
    </row>
    <row r="33" spans="1:14" x14ac:dyDescent="0.25">
      <c r="A33" s="8">
        <v>1.1924855999999999</v>
      </c>
    </row>
    <row r="34" spans="1:14" x14ac:dyDescent="0.25">
      <c r="M34" t="s">
        <v>47</v>
      </c>
      <c r="N34">
        <f>N26-N28</f>
        <v>238.08025837082721</v>
      </c>
    </row>
    <row r="35" spans="1:14" x14ac:dyDescent="0.25">
      <c r="A35" t="s">
        <v>96</v>
      </c>
      <c r="M35" t="s">
        <v>56</v>
      </c>
      <c r="N35">
        <f>N26-N30</f>
        <v>192.29921264062665</v>
      </c>
    </row>
    <row r="36" spans="1:14" x14ac:dyDescent="0.25">
      <c r="A36">
        <f>IF(Taul1!B6&gt;56000,0.8,0.73)</f>
        <v>0.73</v>
      </c>
    </row>
    <row r="37" spans="1:14" x14ac:dyDescent="0.25">
      <c r="H37" s="100"/>
    </row>
    <row r="38" spans="1:14" x14ac:dyDescent="0.25">
      <c r="A38" t="s">
        <v>99</v>
      </c>
    </row>
    <row r="39" spans="1:14" x14ac:dyDescent="0.25">
      <c r="A39">
        <f>IF(Taul1!B6&gt;56000,0.006,0.0055)</f>
        <v>5.4999999999999997E-3</v>
      </c>
      <c r="H39" s="2"/>
    </row>
    <row r="40" spans="1:14" x14ac:dyDescent="0.25">
      <c r="H40" s="2"/>
    </row>
    <row r="41" spans="1:14" x14ac:dyDescent="0.25">
      <c r="A41" t="s">
        <v>102</v>
      </c>
    </row>
    <row r="42" spans="1:14" x14ac:dyDescent="0.25">
      <c r="A42" t="s">
        <v>103</v>
      </c>
      <c r="H42" s="2"/>
      <c r="L42" s="2"/>
    </row>
    <row r="43" spans="1:14" x14ac:dyDescent="0.25">
      <c r="A43" s="2">
        <f>IF(G53&gt;1/2*P14,G53,P14-G53)</f>
        <v>329.36004122446451</v>
      </c>
      <c r="H43" s="2"/>
      <c r="M43" s="10"/>
      <c r="N43" s="99"/>
    </row>
    <row r="44" spans="1:14" x14ac:dyDescent="0.25">
      <c r="H44" s="130"/>
      <c r="M44" s="10"/>
      <c r="N44" s="99"/>
    </row>
    <row r="45" spans="1:14" x14ac:dyDescent="0.25">
      <c r="A45" t="s">
        <v>105</v>
      </c>
      <c r="H45" s="6"/>
      <c r="M45" s="10"/>
      <c r="N45" s="99"/>
    </row>
    <row r="46" spans="1:14" x14ac:dyDescent="0.25">
      <c r="A46">
        <f>IF(Taul1!B23=TRUE,Taul1!B25*Taul1!B26,0)</f>
        <v>750</v>
      </c>
      <c r="B46" t="s">
        <v>16</v>
      </c>
      <c r="H46" s="6"/>
      <c r="M46" s="10"/>
      <c r="N46" s="99"/>
    </row>
    <row r="47" spans="1:14" x14ac:dyDescent="0.25">
      <c r="H47" s="6"/>
      <c r="M47" s="10"/>
      <c r="N47" s="99"/>
    </row>
    <row r="48" spans="1:14" x14ac:dyDescent="0.25">
      <c r="A48" t="s">
        <v>101</v>
      </c>
      <c r="H48" s="6"/>
    </row>
    <row r="49" spans="1:8" x14ac:dyDescent="0.25">
      <c r="A49" s="2">
        <f>IF(G53&lt;A46,G53,A46)</f>
        <v>0</v>
      </c>
      <c r="B49" t="s">
        <v>16</v>
      </c>
      <c r="H49" s="6"/>
    </row>
    <row r="50" spans="1:8" x14ac:dyDescent="0.25">
      <c r="H50" s="6"/>
    </row>
    <row r="51" spans="1:8" x14ac:dyDescent="0.25">
      <c r="A51" t="s">
        <v>104</v>
      </c>
      <c r="H51" s="6"/>
    </row>
    <row r="52" spans="1:8" x14ac:dyDescent="0.25">
      <c r="A52" t="s">
        <v>83</v>
      </c>
    </row>
    <row r="53" spans="1:8" x14ac:dyDescent="0.25">
      <c r="A53" s="2">
        <f>IF(A49&lt;Taul1!K7-Taul3!A43,Taul1!K7-Taul3!A49,Taul3!A43)</f>
        <v>329.36004122446451</v>
      </c>
      <c r="B53" t="s">
        <v>16</v>
      </c>
      <c r="G53" s="2"/>
    </row>
    <row r="55" spans="1:8" x14ac:dyDescent="0.25">
      <c r="A55" t="s">
        <v>97</v>
      </c>
    </row>
    <row r="56" spans="1:8" x14ac:dyDescent="0.25">
      <c r="A56" t="s">
        <v>98</v>
      </c>
      <c r="G56" s="2"/>
    </row>
    <row r="57" spans="1:8" x14ac:dyDescent="0.25">
      <c r="A57" s="10">
        <f>(A53/0.85)*1.05</f>
        <v>406.85652151257381</v>
      </c>
      <c r="B57" t="s">
        <v>16</v>
      </c>
    </row>
    <row r="58" spans="1:8" x14ac:dyDescent="0.25">
      <c r="G58" s="2"/>
    </row>
    <row r="62" spans="1:8" x14ac:dyDescent="0.25">
      <c r="G62" s="10"/>
      <c r="H62" s="2"/>
    </row>
    <row r="63" spans="1:8" x14ac:dyDescent="0.25">
      <c r="G63" s="10"/>
      <c r="H63" s="2"/>
    </row>
    <row r="64" spans="1:8" x14ac:dyDescent="0.25">
      <c r="G64" s="10"/>
      <c r="H64" s="2"/>
    </row>
    <row r="65" spans="7:8" x14ac:dyDescent="0.25">
      <c r="G65" s="10"/>
      <c r="H65" s="2"/>
    </row>
    <row r="66" spans="7:8" x14ac:dyDescent="0.25">
      <c r="G66" s="10"/>
      <c r="H66" s="2"/>
    </row>
    <row r="67" spans="7:8" x14ac:dyDescent="0.25">
      <c r="G67" s="10"/>
      <c r="H67" s="2"/>
    </row>
    <row r="69" spans="7:8" x14ac:dyDescent="0.25">
      <c r="G69" s="10"/>
      <c r="H69" s="2"/>
    </row>
    <row r="70" spans="7:8" x14ac:dyDescent="0.25">
      <c r="G70" s="10"/>
      <c r="H70" s="2"/>
    </row>
    <row r="75" spans="7:8" x14ac:dyDescent="0.25">
      <c r="G75" s="10"/>
    </row>
    <row r="76" spans="7:8" x14ac:dyDescent="0.25">
      <c r="G76" s="10"/>
    </row>
    <row r="77" spans="7:8" x14ac:dyDescent="0.25">
      <c r="G77" s="10"/>
    </row>
    <row r="78" spans="7:8" x14ac:dyDescent="0.25">
      <c r="G78" s="10"/>
    </row>
    <row r="79" spans="7:8" x14ac:dyDescent="0.25">
      <c r="G79" s="10"/>
    </row>
    <row r="80" spans="7:8" x14ac:dyDescent="0.25">
      <c r="G80" s="10"/>
    </row>
    <row r="81" spans="7:7" x14ac:dyDescent="0.25">
      <c r="G81" s="10"/>
    </row>
    <row r="82" spans="7:7" x14ac:dyDescent="0.25">
      <c r="G82" s="10"/>
    </row>
  </sheetData>
  <sheetProtection selectLockedCells="1"/>
  <dataValidations disablePrompts="1" xWindow="140" yWindow="854" count="4">
    <dataValidation allowBlank="1" showInputMessage="1" showErrorMessage="1" promptTitle="Urean käyttö suhteessa dieseliin" prompt="Syötä arvo prosentteina. Esim. puoli desiä ureaa yhtä litraa dieseliä kohden = 5" sqref="A30" xr:uid="{1DDB77E8-225D-47AE-9DE5-7240EF19B7E6}"/>
    <dataValidation type="whole" operator="greaterThan" allowBlank="1" showInputMessage="1" showErrorMessage="1" errorTitle="Virheellinen arvo." error="Prosenttiosuus ei voi olla negatiivinen." sqref="B30" xr:uid="{E744C1BB-A38D-4EDA-A0D0-FC8255C8FA8D}">
      <formula1>0</formula1>
    </dataValidation>
    <dataValidation allowBlank="1" showInputMessage="1" showErrorMessage="1" promptTitle="Regeneroinnin hyötysuhde" prompt="Käytetty hyötysuhde, kun negatiivisesta nousuvastuksesta aiheutuvat kiihdyttävät voimat regeneroidaan takaisin sähköenergiaksi." sqref="A29" xr:uid="{700D29AD-EA0B-41BE-9BE2-D39ED7DBFD2A}"/>
    <dataValidation type="decimal" allowBlank="1" showInputMessage="1" showErrorMessage="1" errorTitle="Virheellinen arvo." error="Hyötysuhde ei voi olla negatiivinen tai yli yhden. Syötä arvo välillä 0-1. " promptTitle="Hyötysuhde tarkemmin." prompt="Mikäli annat tähän soluun arvon, sitä käytetään laskennassa oletusarvon sijaan. " sqref="C29" xr:uid="{A5DEC049-55C6-4CA5-8EA7-0EC2B98C4BE0}">
      <formula1>0</formula1>
      <formula2>1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A8097B-4637-4B90-8BB5-654C261A70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Laskuri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Korhonen</dc:creator>
  <cp:lastModifiedBy>Erik Korhonen</cp:lastModifiedBy>
  <dcterms:created xsi:type="dcterms:W3CDTF">2024-06-27T05:33:40Z</dcterms:created>
  <dcterms:modified xsi:type="dcterms:W3CDTF">2024-09-11T07:15:13Z</dcterms:modified>
</cp:coreProperties>
</file>